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/>
  <bookViews>
    <workbookView xWindow="120" yWindow="120" windowWidth="12120" windowHeight="8835" activeTab="1"/>
  </bookViews>
  <sheets>
    <sheet name="Messungen" sheetId="5" r:id="rId1"/>
    <sheet name="Auswertung" sheetId="2" r:id="rId2"/>
    <sheet name="Ausgleichsrechnung" sheetId="6" r:id="rId3"/>
    <sheet name="N+-" sheetId="7" r:id="rId4"/>
  </sheets>
  <definedNames>
    <definedName name="_xlnm.Print_Area" localSheetId="0">Messungen!$A$1:$G$32</definedName>
    <definedName name="solver_adj" localSheetId="2" hidden="1">Ausgleichsrechnung!$F$2:$F$5</definedName>
    <definedName name="solver_adj" localSheetId="3" hidden="1">'N+-'!$B$2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2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Ausgleichsrechnung!$C$2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Ausgleichsrechnung!$E$2</definedName>
    <definedName name="solver_opt" localSheetId="3" hidden="1">'N+-'!$D$2</definedName>
    <definedName name="solver_pre" localSheetId="2" hidden="1">0.000001</definedName>
    <definedName name="solver_pre" localSheetId="3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3</definedName>
    <definedName name="solver_val" localSheetId="2" hidden="1">0</definedName>
    <definedName name="solver_val" localSheetId="3" hidden="1">1.29</definedName>
  </definedNames>
  <calcPr calcId="125725"/>
</workbook>
</file>

<file path=xl/calcChain.xml><?xml version="1.0" encoding="utf-8"?>
<calcChain xmlns="http://schemas.openxmlformats.org/spreadsheetml/2006/main">
  <c r="C27" i="6"/>
  <c r="AJ4" i="2"/>
  <c r="C29" i="6"/>
  <c r="C30" s="1"/>
  <c r="C28"/>
  <c r="X9" i="2"/>
  <c r="X10"/>
  <c r="A22" i="6" s="1"/>
  <c r="E9" i="2"/>
  <c r="E10"/>
  <c r="A3" i="6" s="1"/>
  <c r="F9" i="2"/>
  <c r="F10"/>
  <c r="A4" i="6" s="1"/>
  <c r="G9" i="2"/>
  <c r="G10"/>
  <c r="A5" i="6" s="1"/>
  <c r="H9" i="2"/>
  <c r="H10"/>
  <c r="A6" i="6" s="1"/>
  <c r="I9" i="2"/>
  <c r="I10"/>
  <c r="A7" i="6" s="1"/>
  <c r="J9" i="2"/>
  <c r="J10"/>
  <c r="A8" i="6" s="1"/>
  <c r="K9" i="2"/>
  <c r="K10"/>
  <c r="A9" i="6" s="1"/>
  <c r="L9" i="2"/>
  <c r="L10"/>
  <c r="A10" i="6" s="1"/>
  <c r="M9" i="2"/>
  <c r="M10"/>
  <c r="A11" i="6" s="1"/>
  <c r="N9" i="2"/>
  <c r="N10"/>
  <c r="A12" i="6" s="1"/>
  <c r="O9" i="2"/>
  <c r="O10"/>
  <c r="A13" i="6" s="1"/>
  <c r="P9" i="2"/>
  <c r="P10"/>
  <c r="A14" i="6" s="1"/>
  <c r="Q9" i="2"/>
  <c r="Q10"/>
  <c r="A15" i="6" s="1"/>
  <c r="R9" i="2"/>
  <c r="R10"/>
  <c r="A16" i="6" s="1"/>
  <c r="S9" i="2"/>
  <c r="S10"/>
  <c r="A17" i="6" s="1"/>
  <c r="T9" i="2"/>
  <c r="T10"/>
  <c r="A18" i="6" s="1"/>
  <c r="U9" i="2"/>
  <c r="U10"/>
  <c r="A19" i="6" s="1"/>
  <c r="V9" i="2"/>
  <c r="V10"/>
  <c r="A20" i="6" s="1"/>
  <c r="W9" i="2"/>
  <c r="W10"/>
  <c r="A21" i="6" s="1"/>
  <c r="D9" i="2"/>
  <c r="D10"/>
  <c r="A2" i="6" s="1"/>
  <c r="F28" i="5"/>
  <c r="D11" i="2"/>
  <c r="B2" i="6"/>
  <c r="F27" i="5"/>
  <c r="E11" i="2"/>
  <c r="E12" s="1"/>
  <c r="F26" i="5"/>
  <c r="F11" i="2"/>
  <c r="F25" i="5"/>
  <c r="G11" i="2"/>
  <c r="B5" i="6" s="1"/>
  <c r="F24" i="5"/>
  <c r="H11" i="2"/>
  <c r="H12" s="1"/>
  <c r="F23" i="5"/>
  <c r="I11" i="2"/>
  <c r="B7" i="6" s="1"/>
  <c r="F22" i="5"/>
  <c r="J11" i="2"/>
  <c r="F21" i="5"/>
  <c r="K11" i="2"/>
  <c r="K12" s="1"/>
  <c r="F20" i="5"/>
  <c r="L11" i="2"/>
  <c r="L12" s="1"/>
  <c r="F19" i="5"/>
  <c r="M11" i="2"/>
  <c r="B11" i="6" s="1"/>
  <c r="F18" i="5"/>
  <c r="N11" i="2"/>
  <c r="B12" i="6" s="1"/>
  <c r="F17" i="5"/>
  <c r="O11" i="2"/>
  <c r="O12" s="1"/>
  <c r="F16" i="5"/>
  <c r="P11" i="2"/>
  <c r="P12" s="1"/>
  <c r="F15" i="5"/>
  <c r="Q11" i="2"/>
  <c r="Q12" s="1"/>
  <c r="F14" i="5"/>
  <c r="R11" i="2"/>
  <c r="F13" i="5"/>
  <c r="S11" i="2"/>
  <c r="B17" i="6" s="1"/>
  <c r="F12" i="5"/>
  <c r="T11" i="2"/>
  <c r="T12" s="1"/>
  <c r="F11" i="5"/>
  <c r="U11" i="2"/>
  <c r="B19" i="6" s="1"/>
  <c r="F10" i="5"/>
  <c r="V11" i="2"/>
  <c r="B20" i="6" s="1"/>
  <c r="F9" i="5"/>
  <c r="W11" i="2"/>
  <c r="W12" s="1"/>
  <c r="F8" i="5"/>
  <c r="X11" i="2"/>
  <c r="X12" s="1"/>
  <c r="B9" i="7"/>
  <c r="AF11" i="2" s="1"/>
  <c r="AB7"/>
  <c r="C2" i="7"/>
  <c r="J3" i="2"/>
  <c r="P3" s="1"/>
  <c r="L7"/>
  <c r="K7"/>
  <c r="M7"/>
  <c r="N7"/>
  <c r="O7"/>
  <c r="P7"/>
  <c r="Q7"/>
  <c r="R7"/>
  <c r="S7"/>
  <c r="T7"/>
  <c r="U7"/>
  <c r="V7"/>
  <c r="W7"/>
  <c r="X7"/>
  <c r="Y7"/>
  <c r="Z7"/>
  <c r="AA7"/>
  <c r="AC7"/>
  <c r="AD7"/>
  <c r="AE7"/>
  <c r="AF7"/>
  <c r="AG7"/>
  <c r="AH7"/>
  <c r="F7"/>
  <c r="E7"/>
  <c r="G7"/>
  <c r="H7"/>
  <c r="I7"/>
  <c r="J7"/>
  <c r="D7"/>
  <c r="J1"/>
  <c r="R1"/>
  <c r="AH1"/>
  <c r="AD1"/>
  <c r="Z1"/>
  <c r="V1"/>
  <c r="D1"/>
  <c r="B21" i="6"/>
  <c r="S12" i="2"/>
  <c r="B13" i="6"/>
  <c r="I12" i="2"/>
  <c r="B22" i="6"/>
  <c r="V12" i="2"/>
  <c r="B18" i="6"/>
  <c r="B16"/>
  <c r="R12" i="2"/>
  <c r="B14" i="6"/>
  <c r="N12" i="2"/>
  <c r="B10" i="6"/>
  <c r="B8"/>
  <c r="J12" i="2"/>
  <c r="B6" i="6"/>
  <c r="B4"/>
  <c r="F12" i="2"/>
  <c r="U12"/>
  <c r="B15" i="6"/>
  <c r="M12" i="2"/>
  <c r="B9" i="6"/>
  <c r="G12" i="2"/>
  <c r="B3" i="6"/>
  <c r="AF15" i="2"/>
  <c r="AF14"/>
  <c r="C31" i="6" l="1"/>
  <c r="F2" a="1"/>
  <c r="F2" s="1"/>
  <c r="F7"/>
  <c r="F5"/>
  <c r="A5" i="7" s="1"/>
  <c r="F3" i="6"/>
  <c r="A3" i="7" s="1"/>
  <c r="F6" i="6"/>
  <c r="A6" i="7" s="1"/>
  <c r="F4" i="6"/>
  <c r="A4" i="7" s="1"/>
  <c r="AE11" i="2"/>
  <c r="B27" i="6" l="1"/>
  <c r="AF10" i="2" s="1"/>
  <c r="C2" i="6"/>
  <c r="A7" i="7"/>
  <c r="B28" i="6"/>
  <c r="B31" s="1"/>
  <c r="B29"/>
  <c r="B30" s="1"/>
  <c r="AB11" i="2" s="1"/>
  <c r="C22" i="6"/>
  <c r="C3"/>
  <c r="C5"/>
  <c r="C7"/>
  <c r="C9"/>
  <c r="C11"/>
  <c r="C13"/>
  <c r="C15"/>
  <c r="C17"/>
  <c r="C19"/>
  <c r="C21"/>
  <c r="D2"/>
  <c r="C4"/>
  <c r="C6"/>
  <c r="C8"/>
  <c r="C10"/>
  <c r="C12"/>
  <c r="C14"/>
  <c r="C16"/>
  <c r="C18"/>
  <c r="C20"/>
  <c r="D22"/>
  <c r="D6"/>
  <c r="D8"/>
  <c r="D12"/>
  <c r="D14"/>
  <c r="D16"/>
  <c r="D18"/>
  <c r="D20"/>
  <c r="A2" i="7"/>
  <c r="D4" i="6"/>
  <c r="D10"/>
  <c r="D3"/>
  <c r="D5"/>
  <c r="D7"/>
  <c r="D9"/>
  <c r="D11"/>
  <c r="D13"/>
  <c r="D15"/>
  <c r="D17"/>
  <c r="D19"/>
  <c r="D21"/>
  <c r="D2" i="7" l="1"/>
  <c r="E2" i="6"/>
</calcChain>
</file>

<file path=xl/sharedStrings.xml><?xml version="1.0" encoding="utf-8"?>
<sst xmlns="http://schemas.openxmlformats.org/spreadsheetml/2006/main" count="72" uniqueCount="54">
  <si>
    <t>Zone</t>
  </si>
  <si>
    <t>lgD</t>
  </si>
  <si>
    <t>Film</t>
  </si>
  <si>
    <t>Verdünnung</t>
  </si>
  <si>
    <t>Datum</t>
  </si>
  <si>
    <t>Entwickler</t>
  </si>
  <si>
    <t>Zeit</t>
  </si>
  <si>
    <t>Kipp</t>
  </si>
  <si>
    <t>Temp.</t>
  </si>
  <si>
    <t>Blende</t>
  </si>
  <si>
    <t>Schleier</t>
  </si>
  <si>
    <t>Bemerkungen:</t>
  </si>
  <si>
    <t>Verdünn.</t>
  </si>
  <si>
    <t>Korrektur</t>
  </si>
  <si>
    <t>Bemerkungen</t>
  </si>
  <si>
    <t>Belichtung</t>
  </si>
  <si>
    <t>Entwicklung</t>
  </si>
  <si>
    <t>Auswertung</t>
  </si>
  <si>
    <t>Step</t>
  </si>
  <si>
    <t>Norm</t>
  </si>
  <si>
    <t>Zone neu</t>
  </si>
  <si>
    <t>off set =</t>
  </si>
  <si>
    <t xml:space="preserve">Gamma = </t>
  </si>
  <si>
    <t>Zone I =</t>
  </si>
  <si>
    <t>belichtet</t>
  </si>
  <si>
    <t>DIN</t>
  </si>
  <si>
    <t>effekt. Empfindlichkeit</t>
  </si>
  <si>
    <t>Entw.</t>
  </si>
  <si>
    <t>Faktor=</t>
  </si>
  <si>
    <t>Wert</t>
  </si>
  <si>
    <r>
      <t>A</t>
    </r>
    <r>
      <rPr>
        <b/>
        <vertAlign val="subscript"/>
        <sz val="10"/>
        <rFont val="Arial"/>
        <family val="2"/>
      </rPr>
      <t>n</t>
    </r>
  </si>
  <si>
    <t>Summe Abw.</t>
  </si>
  <si>
    <t>Ab-weichung**2</t>
  </si>
  <si>
    <t>Zone I</t>
  </si>
  <si>
    <t>N +/-</t>
  </si>
  <si>
    <t>Dichte</t>
  </si>
  <si>
    <t>D-Wert</t>
  </si>
  <si>
    <t>Dichte-Vorgabe</t>
  </si>
  <si>
    <t>V2</t>
  </si>
  <si>
    <t>A5</t>
  </si>
  <si>
    <t>A4</t>
  </si>
  <si>
    <t>A3</t>
  </si>
  <si>
    <t>A2</t>
  </si>
  <si>
    <t>A1</t>
  </si>
  <si>
    <t>A0</t>
  </si>
  <si>
    <t>Gamma</t>
  </si>
  <si>
    <t>Beta</t>
  </si>
  <si>
    <t>Sollwerte</t>
  </si>
  <si>
    <t>Dichte gerechnet</t>
  </si>
  <si>
    <t>FP4+</t>
  </si>
  <si>
    <t>XTOL</t>
  </si>
  <si>
    <t>1+2</t>
  </si>
  <si>
    <t>15/30/1x</t>
  </si>
  <si>
    <t>20 °C</t>
  </si>
</sst>
</file>

<file path=xl/styles.xml><?xml version="1.0" encoding="utf-8"?>
<styleSheet xmlns="http://schemas.openxmlformats.org/spreadsheetml/2006/main">
  <numFmts count="6">
    <numFmt numFmtId="164" formatCode="dd/mm/yy;@"/>
    <numFmt numFmtId="165" formatCode="#,##0.0"/>
    <numFmt numFmtId="166" formatCode="#,##0.0000"/>
    <numFmt numFmtId="167" formatCode="0.000"/>
    <numFmt numFmtId="168" formatCode="#,##0.000000"/>
    <numFmt numFmtId="169" formatCode="0.0000000"/>
  </numFmts>
  <fonts count="1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10" fontId="3" fillId="0" borderId="1" xfId="0" applyNumberFormat="1" applyFont="1" applyBorder="1" applyAlignment="1">
      <alignment vertical="center" wrapText="1"/>
    </xf>
    <xf numFmtId="0" fontId="1" fillId="0" borderId="0" xfId="0" applyFont="1"/>
    <xf numFmtId="4" fontId="3" fillId="0" borderId="0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0" fontId="3" fillId="0" borderId="1" xfId="0" applyNumberFormat="1" applyFont="1" applyBorder="1"/>
    <xf numFmtId="49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7" xfId="0" applyFont="1" applyBorder="1"/>
    <xf numFmtId="0" fontId="2" fillId="0" borderId="8" xfId="0" applyFont="1" applyBorder="1"/>
    <xf numFmtId="49" fontId="7" fillId="0" borderId="9" xfId="0" applyNumberFormat="1" applyFont="1" applyBorder="1"/>
    <xf numFmtId="4" fontId="2" fillId="0" borderId="10" xfId="0" applyNumberFormat="1" applyFont="1" applyBorder="1" applyAlignment="1">
      <alignment vertical="top"/>
    </xf>
    <xf numFmtId="4" fontId="2" fillId="0" borderId="10" xfId="0" applyNumberFormat="1" applyFont="1" applyBorder="1"/>
    <xf numFmtId="4" fontId="7" fillId="2" borderId="10" xfId="0" applyNumberFormat="1" applyFont="1" applyFill="1" applyBorder="1"/>
    <xf numFmtId="4" fontId="2" fillId="0" borderId="11" xfId="0" applyNumberFormat="1" applyFont="1" applyBorder="1"/>
    <xf numFmtId="4" fontId="2" fillId="0" borderId="6" xfId="0" applyNumberFormat="1" applyFont="1" applyBorder="1"/>
    <xf numFmtId="49" fontId="7" fillId="0" borderId="12" xfId="0" applyNumberFormat="1" applyFont="1" applyBorder="1"/>
    <xf numFmtId="4" fontId="2" fillId="0" borderId="13" xfId="0" applyNumberFormat="1" applyFont="1" applyBorder="1"/>
    <xf numFmtId="4" fontId="7" fillId="2" borderId="13" xfId="0" applyNumberFormat="1" applyFont="1" applyFill="1" applyBorder="1"/>
    <xf numFmtId="4" fontId="2" fillId="0" borderId="14" xfId="0" applyNumberFormat="1" applyFont="1" applyBorder="1"/>
    <xf numFmtId="49" fontId="2" fillId="0" borderId="0" xfId="0" applyNumberFormat="1" applyFont="1" applyBorder="1"/>
    <xf numFmtId="4" fontId="2" fillId="0" borderId="0" xfId="0" applyNumberFormat="1" applyFont="1" applyBorder="1"/>
    <xf numFmtId="49" fontId="7" fillId="0" borderId="0" xfId="0" applyNumberFormat="1" applyFont="1" applyBorder="1"/>
    <xf numFmtId="0" fontId="7" fillId="0" borderId="15" xfId="0" applyFont="1" applyBorder="1"/>
    <xf numFmtId="4" fontId="2" fillId="0" borderId="1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7" fillId="0" borderId="9" xfId="0" applyFont="1" applyBorder="1"/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left"/>
    </xf>
    <xf numFmtId="4" fontId="2" fillId="0" borderId="17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7" fillId="0" borderId="12" xfId="0" applyFont="1" applyBorder="1"/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8" fillId="0" borderId="20" xfId="0" applyNumberFormat="1" applyFont="1" applyBorder="1" applyAlignment="1">
      <alignment horizontal="center"/>
    </xf>
    <xf numFmtId="4" fontId="0" fillId="0" borderId="20" xfId="0" applyNumberFormat="1" applyBorder="1"/>
    <xf numFmtId="166" fontId="1" fillId="0" borderId="1" xfId="0" applyNumberFormat="1" applyFont="1" applyBorder="1" applyAlignment="1">
      <alignment horizontal="center" wrapText="1"/>
    </xf>
    <xf numFmtId="49" fontId="1" fillId="3" borderId="19" xfId="0" applyNumberFormat="1" applyFont="1" applyFill="1" applyBorder="1" applyAlignment="1">
      <alignment horizontal="right"/>
    </xf>
    <xf numFmtId="4" fontId="0" fillId="3" borderId="18" xfId="0" applyNumberFormat="1" applyFill="1" applyBorder="1"/>
    <xf numFmtId="166" fontId="0" fillId="0" borderId="20" xfId="0" applyNumberFormat="1" applyBorder="1"/>
    <xf numFmtId="166" fontId="0" fillId="0" borderId="1" xfId="0" applyNumberFormat="1" applyBorder="1"/>
    <xf numFmtId="0" fontId="7" fillId="0" borderId="7" xfId="0" applyFont="1" applyBorder="1" applyAlignment="1">
      <alignment horizontal="right"/>
    </xf>
    <xf numFmtId="168" fontId="0" fillId="0" borderId="1" xfId="0" applyNumberFormat="1" applyBorder="1" applyAlignment="1">
      <alignment vertical="top"/>
    </xf>
    <xf numFmtId="167" fontId="1" fillId="4" borderId="1" xfId="0" applyNumberFormat="1" applyFont="1" applyFill="1" applyBorder="1"/>
    <xf numFmtId="4" fontId="0" fillId="3" borderId="1" xfId="0" applyNumberFormat="1" applyFill="1" applyBorder="1"/>
    <xf numFmtId="168" fontId="1" fillId="4" borderId="21" xfId="0" applyNumberFormat="1" applyFont="1" applyFill="1" applyBorder="1"/>
    <xf numFmtId="4" fontId="1" fillId="0" borderId="0" xfId="0" applyNumberFormat="1" applyFont="1" applyAlignment="1">
      <alignment horizontal="center"/>
    </xf>
    <xf numFmtId="169" fontId="0" fillId="0" borderId="1" xfId="0" applyNumberFormat="1" applyBorder="1"/>
    <xf numFmtId="0" fontId="3" fillId="5" borderId="30" xfId="0" applyFont="1" applyFill="1" applyBorder="1"/>
    <xf numFmtId="0" fontId="3" fillId="5" borderId="12" xfId="0" applyFont="1" applyFill="1" applyBorder="1"/>
    <xf numFmtId="4" fontId="1" fillId="6" borderId="11" xfId="0" applyNumberFormat="1" applyFont="1" applyFill="1" applyBorder="1"/>
    <xf numFmtId="4" fontId="0" fillId="6" borderId="31" xfId="0" applyNumberFormat="1" applyFill="1" applyBorder="1"/>
    <xf numFmtId="2" fontId="3" fillId="6" borderId="31" xfId="0" applyNumberFormat="1" applyFont="1" applyFill="1" applyBorder="1"/>
    <xf numFmtId="4" fontId="0" fillId="6" borderId="14" xfId="0" applyNumberFormat="1" applyFill="1" applyBorder="1"/>
    <xf numFmtId="2" fontId="8" fillId="5" borderId="1" xfId="0" applyNumberFormat="1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8" fillId="5" borderId="30" xfId="0" applyFont="1" applyFill="1" applyBorder="1"/>
    <xf numFmtId="2" fontId="8" fillId="5" borderId="13" xfId="0" applyNumberFormat="1" applyFont="1" applyFill="1" applyBorder="1"/>
    <xf numFmtId="4" fontId="7" fillId="0" borderId="6" xfId="0" applyNumberFormat="1" applyFont="1" applyBorder="1" applyAlignment="1">
      <alignment horizontal="right" vertical="center"/>
    </xf>
    <xf numFmtId="4" fontId="2" fillId="5" borderId="18" xfId="0" applyNumberFormat="1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right"/>
    </xf>
    <xf numFmtId="0" fontId="7" fillId="5" borderId="17" xfId="0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7" fillId="5" borderId="17" xfId="0" applyNumberFormat="1" applyFont="1" applyFill="1" applyBorder="1" applyAlignment="1">
      <alignment horizontal="right"/>
    </xf>
    <xf numFmtId="2" fontId="7" fillId="5" borderId="18" xfId="0" applyNumberFormat="1" applyFont="1" applyFill="1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168" fontId="0" fillId="0" borderId="0" xfId="0" applyNumberFormat="1" applyBorder="1" applyAlignment="1">
      <alignment vertical="top"/>
    </xf>
    <xf numFmtId="0" fontId="7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65" fontId="2" fillId="2" borderId="22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8.1632653061224497E-2"/>
          <c:y val="4.8192771084337414E-2"/>
          <c:w val="0.88997338065661047"/>
          <c:h val="0.81411359724612742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Auswertung!$D$6:$AH$6</c:f>
              <c:numCache>
                <c:formatCode>#,##0.00</c:formatCode>
                <c:ptCount val="31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1</c:v>
                </c:pt>
                <c:pt idx="4">
                  <c:v>1.3333333333333333</c:v>
                </c:pt>
                <c:pt idx="5">
                  <c:v>1.6666666666666665</c:v>
                </c:pt>
                <c:pt idx="6">
                  <c:v>2</c:v>
                </c:pt>
                <c:pt idx="7">
                  <c:v>2.333333333333333</c:v>
                </c:pt>
                <c:pt idx="8">
                  <c:v>2.6666666666666665</c:v>
                </c:pt>
                <c:pt idx="9">
                  <c:v>3</c:v>
                </c:pt>
                <c:pt idx="10">
                  <c:v>3.3333333333333335</c:v>
                </c:pt>
                <c:pt idx="11">
                  <c:v>3.666666666666667</c:v>
                </c:pt>
                <c:pt idx="12">
                  <c:v>4</c:v>
                </c:pt>
                <c:pt idx="13">
                  <c:v>4.333333333333333</c:v>
                </c:pt>
                <c:pt idx="14">
                  <c:v>4.6666666666666661</c:v>
                </c:pt>
                <c:pt idx="15">
                  <c:v>5</c:v>
                </c:pt>
                <c:pt idx="16">
                  <c:v>5.3333333333333321</c:v>
                </c:pt>
                <c:pt idx="17">
                  <c:v>5.6666666666666652</c:v>
                </c:pt>
                <c:pt idx="18">
                  <c:v>6</c:v>
                </c:pt>
                <c:pt idx="19">
                  <c:v>6.3333333333333313</c:v>
                </c:pt>
                <c:pt idx="20">
                  <c:v>6.6666666666666643</c:v>
                </c:pt>
                <c:pt idx="21">
                  <c:v>7</c:v>
                </c:pt>
                <c:pt idx="22">
                  <c:v>7.3333333333333304</c:v>
                </c:pt>
                <c:pt idx="23">
                  <c:v>7.6666666666666634</c:v>
                </c:pt>
                <c:pt idx="24">
                  <c:v>8</c:v>
                </c:pt>
                <c:pt idx="25">
                  <c:v>8.3333333333333304</c:v>
                </c:pt>
                <c:pt idx="26">
                  <c:v>8.6666666666666643</c:v>
                </c:pt>
                <c:pt idx="27">
                  <c:v>9</c:v>
                </c:pt>
                <c:pt idx="28">
                  <c:v>9.3333333333333321</c:v>
                </c:pt>
                <c:pt idx="29">
                  <c:v>9.6666666666666661</c:v>
                </c:pt>
                <c:pt idx="30">
                  <c:v>10</c:v>
                </c:pt>
              </c:numCache>
            </c:numRef>
          </c:xVal>
          <c:yVal>
            <c:numRef>
              <c:f>Auswertung!$D$7:$AH$7</c:f>
              <c:numCache>
                <c:formatCode>#,##0.00</c:formatCode>
                <c:ptCount val="31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0.33</c:v>
                </c:pt>
                <c:pt idx="9">
                  <c:v>0.38</c:v>
                </c:pt>
                <c:pt idx="10">
                  <c:v>0.43</c:v>
                </c:pt>
                <c:pt idx="11">
                  <c:v>0.49</c:v>
                </c:pt>
                <c:pt idx="12">
                  <c:v>0.54</c:v>
                </c:pt>
                <c:pt idx="13">
                  <c:v>0.6</c:v>
                </c:pt>
                <c:pt idx="14">
                  <c:v>0.66</c:v>
                </c:pt>
                <c:pt idx="15">
                  <c:v>0.72</c:v>
                </c:pt>
                <c:pt idx="16">
                  <c:v>0.78</c:v>
                </c:pt>
                <c:pt idx="17">
                  <c:v>0.84</c:v>
                </c:pt>
                <c:pt idx="18">
                  <c:v>0.9</c:v>
                </c:pt>
                <c:pt idx="19">
                  <c:v>0.97</c:v>
                </c:pt>
                <c:pt idx="20">
                  <c:v>1.03</c:v>
                </c:pt>
                <c:pt idx="21">
                  <c:v>1.1000000000000001</c:v>
                </c:pt>
                <c:pt idx="22">
                  <c:v>1.1599999999999999</c:v>
                </c:pt>
                <c:pt idx="23">
                  <c:v>1.22</c:v>
                </c:pt>
                <c:pt idx="24">
                  <c:v>1.29</c:v>
                </c:pt>
                <c:pt idx="25">
                  <c:v>1.35</c:v>
                </c:pt>
                <c:pt idx="26">
                  <c:v>1.42</c:v>
                </c:pt>
                <c:pt idx="27">
                  <c:v>1.48</c:v>
                </c:pt>
                <c:pt idx="28">
                  <c:v>1.55</c:v>
                </c:pt>
                <c:pt idx="29">
                  <c:v>1.61</c:v>
                </c:pt>
                <c:pt idx="30">
                  <c:v>1.67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trendlineType val="poly"/>
            <c:order val="5"/>
          </c:trendline>
          <c:xVal>
            <c:numRef>
              <c:f>Auswertung!$D$10:$X$10</c:f>
              <c:numCache>
                <c:formatCode>#,##0.00</c:formatCode>
                <c:ptCount val="21"/>
                <c:pt idx="0">
                  <c:v>1.9145782053681171E-2</c:v>
                </c:pt>
                <c:pt idx="1">
                  <c:v>0.55065427723566063</c:v>
                </c:pt>
                <c:pt idx="2">
                  <c:v>1.0157242105198907</c:v>
                </c:pt>
                <c:pt idx="3">
                  <c:v>1.5804519866507423</c:v>
                </c:pt>
                <c:pt idx="4">
                  <c:v>2.0787412008838464</c:v>
                </c:pt>
                <c:pt idx="5">
                  <c:v>2.6102496960658259</c:v>
                </c:pt>
                <c:pt idx="6">
                  <c:v>3.0753196293500551</c:v>
                </c:pt>
                <c:pt idx="7">
                  <c:v>3.6068281245320337</c:v>
                </c:pt>
                <c:pt idx="8">
                  <c:v>4.1051173387651385</c:v>
                </c:pt>
                <c:pt idx="9">
                  <c:v>4.6366258339471162</c:v>
                </c:pt>
                <c:pt idx="10">
                  <c:v>5.168134329129094</c:v>
                </c:pt>
                <c:pt idx="11">
                  <c:v>5.6996428243110726</c:v>
                </c:pt>
                <c:pt idx="12">
                  <c:v>6.1979320385441765</c:v>
                </c:pt>
                <c:pt idx="13">
                  <c:v>6.7626598146750281</c:v>
                </c:pt>
                <c:pt idx="14">
                  <c:v>7.2277297479592582</c:v>
                </c:pt>
                <c:pt idx="15">
                  <c:v>7.7260189621923638</c:v>
                </c:pt>
                <c:pt idx="16">
                  <c:v>8.2907467383232145</c:v>
                </c:pt>
                <c:pt idx="17">
                  <c:v>8.7890359525563184</c:v>
                </c:pt>
                <c:pt idx="18">
                  <c:v>9.2541058858405485</c:v>
                </c:pt>
                <c:pt idx="19">
                  <c:v>9.7856143810225262</c:v>
                </c:pt>
                <c:pt idx="20">
                  <c:v>10.317122876204504</c:v>
                </c:pt>
              </c:numCache>
            </c:numRef>
          </c:xVal>
          <c:yVal>
            <c:numRef>
              <c:f>Auswertung!$D$11:$X$11</c:f>
              <c:numCache>
                <c:formatCode>#,##0.00</c:formatCode>
                <c:ptCount val="2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0.18</c:v>
                </c:pt>
                <c:pt idx="4">
                  <c:v>0.26</c:v>
                </c:pt>
                <c:pt idx="5">
                  <c:v>0.35</c:v>
                </c:pt>
                <c:pt idx="6">
                  <c:v>0.42000000000000004</c:v>
                </c:pt>
                <c:pt idx="7">
                  <c:v>0.51</c:v>
                </c:pt>
                <c:pt idx="8">
                  <c:v>0.6</c:v>
                </c:pt>
                <c:pt idx="9">
                  <c:v>0.7</c:v>
                </c:pt>
                <c:pt idx="10">
                  <c:v>0.82</c:v>
                </c:pt>
                <c:pt idx="11">
                  <c:v>0.91</c:v>
                </c:pt>
                <c:pt idx="12">
                  <c:v>0.98000000000000009</c:v>
                </c:pt>
                <c:pt idx="13">
                  <c:v>1.0699999999999998</c:v>
                </c:pt>
                <c:pt idx="14">
                  <c:v>1.17</c:v>
                </c:pt>
                <c:pt idx="15">
                  <c:v>1.25</c:v>
                </c:pt>
                <c:pt idx="16">
                  <c:v>1.35</c:v>
                </c:pt>
                <c:pt idx="17">
                  <c:v>1.44</c:v>
                </c:pt>
                <c:pt idx="18">
                  <c:v>1.52</c:v>
                </c:pt>
                <c:pt idx="19">
                  <c:v>1.6</c:v>
                </c:pt>
                <c:pt idx="20">
                  <c:v>1.67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</c:v>
              </c:pt>
            </c:numLit>
          </c:xVal>
          <c:yVal>
            <c:numRef>
              <c:f>(Auswertung!$AB$7,Auswertung!$AB$7)</c:f>
              <c:numCache>
                <c:formatCode>#,##0.00</c:formatCode>
                <c:ptCount val="2"/>
                <c:pt idx="0">
                  <c:v>1.29</c:v>
                </c:pt>
                <c:pt idx="1">
                  <c:v>1.29</c:v>
                </c:pt>
              </c:numCache>
            </c:numRef>
          </c:yVal>
          <c:smooth val="1"/>
        </c:ser>
        <c:axId val="79506048"/>
        <c:axId val="79524992"/>
      </c:scatterChart>
      <c:valAx>
        <c:axId val="79506048"/>
        <c:scaling>
          <c:orientation val="minMax"/>
          <c:max val="10"/>
          <c:min val="0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Zone</a:t>
                </a:r>
              </a:p>
            </c:rich>
          </c:tx>
          <c:layout>
            <c:manualLayout>
              <c:xMode val="edge"/>
              <c:yMode val="edge"/>
              <c:x val="0.50665483584738269"/>
              <c:y val="0.9242685025817555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524992"/>
        <c:crosses val="autoZero"/>
        <c:crossBetween val="midCat"/>
        <c:majorUnit val="0.5"/>
      </c:valAx>
      <c:valAx>
        <c:axId val="7952499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Dichte</a:t>
                </a:r>
              </a:p>
            </c:rich>
          </c:tx>
          <c:layout>
            <c:manualLayout>
              <c:xMode val="edge"/>
              <c:yMode val="edge"/>
              <c:x val="1.4196983141082519E-2"/>
              <c:y val="0.40791738382099857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506048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4.5842217484008532E-2"/>
          <c:y val="4.9363095705532024E-2"/>
          <c:w val="0.90938166311300661"/>
          <c:h val="0.85668856417987793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Ausgleichsrechnung!$A$2:$A$22</c:f>
              <c:numCache>
                <c:formatCode>#,##0.00</c:formatCode>
                <c:ptCount val="21"/>
                <c:pt idx="0">
                  <c:v>1.9145782053681171E-2</c:v>
                </c:pt>
                <c:pt idx="1">
                  <c:v>0.55065427723566063</c:v>
                </c:pt>
                <c:pt idx="2">
                  <c:v>1.0157242105198907</c:v>
                </c:pt>
                <c:pt idx="3">
                  <c:v>1.5804519866507423</c:v>
                </c:pt>
                <c:pt idx="4">
                  <c:v>2.0787412008838464</c:v>
                </c:pt>
                <c:pt idx="5">
                  <c:v>2.6102496960658259</c:v>
                </c:pt>
                <c:pt idx="6">
                  <c:v>3.0753196293500551</c:v>
                </c:pt>
                <c:pt idx="7">
                  <c:v>3.6068281245320337</c:v>
                </c:pt>
                <c:pt idx="8">
                  <c:v>4.1051173387651385</c:v>
                </c:pt>
                <c:pt idx="9">
                  <c:v>4.6366258339471162</c:v>
                </c:pt>
                <c:pt idx="10">
                  <c:v>5.168134329129094</c:v>
                </c:pt>
                <c:pt idx="11">
                  <c:v>5.6996428243110726</c:v>
                </c:pt>
                <c:pt idx="12">
                  <c:v>6.1979320385441765</c:v>
                </c:pt>
                <c:pt idx="13">
                  <c:v>6.7626598146750281</c:v>
                </c:pt>
                <c:pt idx="14">
                  <c:v>7.2277297479592582</c:v>
                </c:pt>
                <c:pt idx="15">
                  <c:v>7.7260189621923638</c:v>
                </c:pt>
                <c:pt idx="16">
                  <c:v>8.2907467383232145</c:v>
                </c:pt>
                <c:pt idx="17">
                  <c:v>8.7890359525563184</c:v>
                </c:pt>
                <c:pt idx="18">
                  <c:v>9.2541058858405485</c:v>
                </c:pt>
                <c:pt idx="19">
                  <c:v>9.7856143810225262</c:v>
                </c:pt>
                <c:pt idx="20">
                  <c:v>10.317122876204504</c:v>
                </c:pt>
              </c:numCache>
            </c:numRef>
          </c:xVal>
          <c:yVal>
            <c:numRef>
              <c:f>Ausgleichsrechnung!$B$2:$B$22</c:f>
              <c:numCache>
                <c:formatCode>#,##0.00</c:formatCode>
                <c:ptCount val="2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0.18</c:v>
                </c:pt>
                <c:pt idx="4">
                  <c:v>0.26</c:v>
                </c:pt>
                <c:pt idx="5">
                  <c:v>0.35</c:v>
                </c:pt>
                <c:pt idx="6">
                  <c:v>0.42000000000000004</c:v>
                </c:pt>
                <c:pt idx="7">
                  <c:v>0.51</c:v>
                </c:pt>
                <c:pt idx="8">
                  <c:v>0.6</c:v>
                </c:pt>
                <c:pt idx="9">
                  <c:v>0.7</c:v>
                </c:pt>
                <c:pt idx="10">
                  <c:v>0.82</c:v>
                </c:pt>
                <c:pt idx="11">
                  <c:v>0.91</c:v>
                </c:pt>
                <c:pt idx="12">
                  <c:v>0.98000000000000009</c:v>
                </c:pt>
                <c:pt idx="13">
                  <c:v>1.0699999999999998</c:v>
                </c:pt>
                <c:pt idx="14">
                  <c:v>1.17</c:v>
                </c:pt>
                <c:pt idx="15">
                  <c:v>1.25</c:v>
                </c:pt>
                <c:pt idx="16">
                  <c:v>1.35</c:v>
                </c:pt>
                <c:pt idx="17">
                  <c:v>1.44</c:v>
                </c:pt>
                <c:pt idx="18">
                  <c:v>1.52</c:v>
                </c:pt>
                <c:pt idx="19">
                  <c:v>1.6</c:v>
                </c:pt>
                <c:pt idx="20">
                  <c:v>1.67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Ausgleichsrechnung!$A$2:$A$22</c:f>
              <c:numCache>
                <c:formatCode>#,##0.00</c:formatCode>
                <c:ptCount val="21"/>
                <c:pt idx="0">
                  <c:v>1.9145782053681171E-2</c:v>
                </c:pt>
                <c:pt idx="1">
                  <c:v>0.55065427723566063</c:v>
                </c:pt>
                <c:pt idx="2">
                  <c:v>1.0157242105198907</c:v>
                </c:pt>
                <c:pt idx="3">
                  <c:v>1.5804519866507423</c:v>
                </c:pt>
                <c:pt idx="4">
                  <c:v>2.0787412008838464</c:v>
                </c:pt>
                <c:pt idx="5">
                  <c:v>2.6102496960658259</c:v>
                </c:pt>
                <c:pt idx="6">
                  <c:v>3.0753196293500551</c:v>
                </c:pt>
                <c:pt idx="7">
                  <c:v>3.6068281245320337</c:v>
                </c:pt>
                <c:pt idx="8">
                  <c:v>4.1051173387651385</c:v>
                </c:pt>
                <c:pt idx="9">
                  <c:v>4.6366258339471162</c:v>
                </c:pt>
                <c:pt idx="10">
                  <c:v>5.168134329129094</c:v>
                </c:pt>
                <c:pt idx="11">
                  <c:v>5.6996428243110726</c:v>
                </c:pt>
                <c:pt idx="12">
                  <c:v>6.1979320385441765</c:v>
                </c:pt>
                <c:pt idx="13">
                  <c:v>6.7626598146750281</c:v>
                </c:pt>
                <c:pt idx="14">
                  <c:v>7.2277297479592582</c:v>
                </c:pt>
                <c:pt idx="15">
                  <c:v>7.7260189621923638</c:v>
                </c:pt>
                <c:pt idx="16">
                  <c:v>8.2907467383232145</c:v>
                </c:pt>
                <c:pt idx="17">
                  <c:v>8.7890359525563184</c:v>
                </c:pt>
                <c:pt idx="18">
                  <c:v>9.2541058858405485</c:v>
                </c:pt>
                <c:pt idx="19">
                  <c:v>9.7856143810225262</c:v>
                </c:pt>
                <c:pt idx="20">
                  <c:v>10.317122876204504</c:v>
                </c:pt>
              </c:numCache>
            </c:numRef>
          </c:xVal>
          <c:yVal>
            <c:numRef>
              <c:f>Ausgleichsrechnung!$C$2:$C$22</c:f>
              <c:numCache>
                <c:formatCode>#,##0.00</c:formatCode>
                <c:ptCount val="21"/>
                <c:pt idx="0">
                  <c:v>1.915433769781131E-3</c:v>
                </c:pt>
                <c:pt idx="1">
                  <c:v>4.746662828147323E-2</c:v>
                </c:pt>
                <c:pt idx="2">
                  <c:v>0.10118621418212954</c:v>
                </c:pt>
                <c:pt idx="3">
                  <c:v>0.17924021430936846</c:v>
                </c:pt>
                <c:pt idx="4">
                  <c:v>0.25648385566760523</c:v>
                </c:pt>
                <c:pt idx="5">
                  <c:v>0.34470241927162126</c:v>
                </c:pt>
                <c:pt idx="6">
                  <c:v>0.42510186014930929</c:v>
                </c:pt>
                <c:pt idx="7">
                  <c:v>0.51915495967432623</c:v>
                </c:pt>
                <c:pt idx="8">
                  <c:v>0.60842494989779405</c:v>
                </c:pt>
                <c:pt idx="9">
                  <c:v>0.70407342358858771</c:v>
                </c:pt>
                <c:pt idx="10">
                  <c:v>0.79971224639243421</c:v>
                </c:pt>
                <c:pt idx="11">
                  <c:v>0.89510879476918059</c:v>
                </c:pt>
                <c:pt idx="12">
                  <c:v>0.98423637445211409</c:v>
                </c:pt>
                <c:pt idx="13">
                  <c:v>1.0848289851435335</c:v>
                </c:pt>
                <c:pt idx="14">
                  <c:v>1.1672487089938821</c:v>
                </c:pt>
                <c:pt idx="15">
                  <c:v>1.2549330840571447</c:v>
                </c:pt>
                <c:pt idx="16">
                  <c:v>1.3530401068337796</c:v>
                </c:pt>
                <c:pt idx="17">
                  <c:v>1.4377525303620298</c:v>
                </c:pt>
                <c:pt idx="18">
                  <c:v>1.5143369320644329</c:v>
                </c:pt>
                <c:pt idx="19">
                  <c:v>1.5974335522340448</c:v>
                </c:pt>
                <c:pt idx="20">
                  <c:v>1.673618725905424</c:v>
                </c:pt>
              </c:numCache>
            </c:numRef>
          </c:yVal>
          <c:smooth val="1"/>
        </c:ser>
        <c:axId val="79017856"/>
        <c:axId val="79028224"/>
      </c:scatterChart>
      <c:valAx>
        <c:axId val="79017856"/>
        <c:scaling>
          <c:orientation val="minMax"/>
          <c:max val="10"/>
        </c:scaling>
        <c:axPos val="b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028224"/>
        <c:crosses val="autoZero"/>
        <c:crossBetween val="midCat"/>
        <c:majorUnit val="1"/>
        <c:minorUnit val="0.1"/>
      </c:valAx>
      <c:valAx>
        <c:axId val="7902822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0178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28575</xdr:rowOff>
    </xdr:from>
    <xdr:to>
      <xdr:col>36</xdr:col>
      <xdr:colOff>19050</xdr:colOff>
      <xdr:row>45</xdr:row>
      <xdr:rowOff>57150</xdr:rowOff>
    </xdr:to>
    <xdr:graphicFrame macro="">
      <xdr:nvGraphicFramePr>
        <xdr:cNvPr id="2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114300</xdr:rowOff>
    </xdr:from>
    <xdr:to>
      <xdr:col>15</xdr:col>
      <xdr:colOff>752475</xdr:colOff>
      <xdr:row>44</xdr:row>
      <xdr:rowOff>85725</xdr:rowOff>
    </xdr:to>
    <xdr:graphicFrame macro="">
      <xdr:nvGraphicFramePr>
        <xdr:cNvPr id="30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I31"/>
  <sheetViews>
    <sheetView zoomScaleNormal="100" workbookViewId="0">
      <selection activeCell="G8" sqref="G8"/>
    </sheetView>
  </sheetViews>
  <sheetFormatPr baseColWidth="10" defaultRowHeight="12.75"/>
  <cols>
    <col min="1" max="1" width="15.85546875" style="1" customWidth="1"/>
    <col min="2" max="9" width="12.7109375" customWidth="1"/>
  </cols>
  <sheetData>
    <row r="1" spans="1:9" s="3" customFormat="1" ht="15.75">
      <c r="A1" s="23" t="s">
        <v>15</v>
      </c>
      <c r="B1" s="15" t="s">
        <v>2</v>
      </c>
      <c r="C1" s="15" t="s">
        <v>4</v>
      </c>
      <c r="D1" s="15" t="s">
        <v>25</v>
      </c>
      <c r="E1" s="16" t="s">
        <v>6</v>
      </c>
      <c r="F1" s="15" t="s">
        <v>9</v>
      </c>
    </row>
    <row r="2" spans="1:9" s="4" customFormat="1" ht="15.75">
      <c r="B2" s="17" t="s">
        <v>49</v>
      </c>
      <c r="C2" s="18">
        <v>39505</v>
      </c>
      <c r="D2" s="17">
        <v>19</v>
      </c>
      <c r="E2" s="19">
        <v>125</v>
      </c>
      <c r="F2" s="20">
        <v>8</v>
      </c>
    </row>
    <row r="3" spans="1:9" s="4" customFormat="1" ht="15.75">
      <c r="B3" s="10"/>
      <c r="C3" s="10"/>
      <c r="D3" s="11"/>
      <c r="E3" s="10"/>
      <c r="F3" s="12"/>
      <c r="G3" s="13"/>
      <c r="H3" s="13"/>
      <c r="I3" s="14"/>
    </row>
    <row r="4" spans="1:9" s="3" customFormat="1" ht="15.75">
      <c r="A4" s="23" t="s">
        <v>16</v>
      </c>
      <c r="B4" s="15" t="s">
        <v>5</v>
      </c>
      <c r="C4" s="15" t="s">
        <v>12</v>
      </c>
      <c r="D4" s="15" t="s">
        <v>6</v>
      </c>
      <c r="E4" s="16" t="s">
        <v>7</v>
      </c>
      <c r="F4" s="21" t="s">
        <v>8</v>
      </c>
    </row>
    <row r="5" spans="1:9" s="4" customFormat="1" ht="15.75">
      <c r="B5" s="17" t="s">
        <v>50</v>
      </c>
      <c r="C5" s="17" t="s">
        <v>51</v>
      </c>
      <c r="D5" s="22">
        <v>0.45833333333333331</v>
      </c>
      <c r="E5" s="21" t="s">
        <v>52</v>
      </c>
      <c r="F5" s="21" t="s">
        <v>53</v>
      </c>
    </row>
    <row r="6" spans="1:9" s="4" customFormat="1" ht="15.75">
      <c r="A6" s="10"/>
      <c r="B6" s="10"/>
      <c r="C6" s="11"/>
      <c r="D6" s="10"/>
      <c r="E6" s="12"/>
      <c r="F6" s="13"/>
      <c r="G6" s="13"/>
      <c r="H6" s="14"/>
    </row>
    <row r="7" spans="1:9" s="1" customFormat="1" ht="20.100000000000001" customHeight="1">
      <c r="A7" s="23" t="s">
        <v>17</v>
      </c>
      <c r="B7" s="29" t="s">
        <v>18</v>
      </c>
      <c r="C7" s="29" t="s">
        <v>0</v>
      </c>
      <c r="D7" s="29" t="s">
        <v>35</v>
      </c>
      <c r="E7" s="29" t="s">
        <v>13</v>
      </c>
      <c r="F7" s="29" t="s">
        <v>36</v>
      </c>
      <c r="G7" s="30" t="s">
        <v>10</v>
      </c>
    </row>
    <row r="8" spans="1:9" s="1" customFormat="1" ht="20.100000000000001" customHeight="1">
      <c r="B8" s="2">
        <v>1</v>
      </c>
      <c r="C8" s="8">
        <v>9.8671228762045047</v>
      </c>
      <c r="D8" s="78">
        <v>1.79</v>
      </c>
      <c r="E8" s="5">
        <v>0</v>
      </c>
      <c r="F8" s="9">
        <f>D8*(1+E8)-$G$8</f>
        <v>1.67</v>
      </c>
      <c r="G8" s="9">
        <v>0.12</v>
      </c>
    </row>
    <row r="9" spans="1:9" s="1" customFormat="1" ht="20.100000000000001" customHeight="1">
      <c r="B9" s="2">
        <v>2</v>
      </c>
      <c r="C9" s="8">
        <v>9.3356143810225269</v>
      </c>
      <c r="D9" s="78">
        <v>1.72</v>
      </c>
      <c r="E9" s="5">
        <v>0</v>
      </c>
      <c r="F9" s="9">
        <f t="shared" ref="F9:F28" si="0">D9*(1+E9)-$G$8</f>
        <v>1.6</v>
      </c>
      <c r="G9" s="7"/>
    </row>
    <row r="10" spans="1:9" s="1" customFormat="1" ht="20.100000000000001" customHeight="1">
      <c r="B10" s="2">
        <v>3</v>
      </c>
      <c r="C10" s="8">
        <v>8.8041058858405492</v>
      </c>
      <c r="D10" s="78">
        <v>1.64</v>
      </c>
      <c r="E10" s="5">
        <v>0</v>
      </c>
      <c r="F10" s="9">
        <f t="shared" si="0"/>
        <v>1.52</v>
      </c>
      <c r="G10" s="7"/>
    </row>
    <row r="11" spans="1:9" s="1" customFormat="1" ht="20.100000000000001" customHeight="1">
      <c r="B11" s="2">
        <v>4</v>
      </c>
      <c r="C11" s="8">
        <v>8.3390359525563191</v>
      </c>
      <c r="D11" s="78">
        <v>1.56</v>
      </c>
      <c r="E11" s="5">
        <v>0</v>
      </c>
      <c r="F11" s="9">
        <f t="shared" si="0"/>
        <v>1.44</v>
      </c>
      <c r="G11" s="7"/>
    </row>
    <row r="12" spans="1:9" s="1" customFormat="1" ht="20.100000000000001" customHeight="1">
      <c r="B12" s="2">
        <v>5</v>
      </c>
      <c r="C12" s="8">
        <v>7.8407467383232143</v>
      </c>
      <c r="D12" s="78">
        <v>1.47</v>
      </c>
      <c r="E12" s="5">
        <v>0</v>
      </c>
      <c r="F12" s="9">
        <f t="shared" si="0"/>
        <v>1.35</v>
      </c>
      <c r="G12" s="7"/>
    </row>
    <row r="13" spans="1:9" s="1" customFormat="1" ht="20.100000000000001" customHeight="1">
      <c r="B13" s="2">
        <v>6</v>
      </c>
      <c r="C13" s="8">
        <v>7.2760189621923637</v>
      </c>
      <c r="D13" s="78">
        <v>1.37</v>
      </c>
      <c r="E13" s="5">
        <v>0</v>
      </c>
      <c r="F13" s="9">
        <f t="shared" si="0"/>
        <v>1.25</v>
      </c>
      <c r="G13" s="7"/>
    </row>
    <row r="14" spans="1:9" s="1" customFormat="1" ht="20.100000000000001" customHeight="1">
      <c r="B14" s="2">
        <v>7</v>
      </c>
      <c r="C14" s="8">
        <v>6.777729747959258</v>
      </c>
      <c r="D14" s="78">
        <v>1.29</v>
      </c>
      <c r="E14" s="5">
        <v>0</v>
      </c>
      <c r="F14" s="9">
        <f t="shared" si="0"/>
        <v>1.17</v>
      </c>
      <c r="G14" s="7"/>
    </row>
    <row r="15" spans="1:9" s="1" customFormat="1" ht="20.100000000000001" customHeight="1">
      <c r="B15" s="2">
        <v>8</v>
      </c>
      <c r="C15" s="8">
        <v>6.3126598146750279</v>
      </c>
      <c r="D15" s="78">
        <v>1.19</v>
      </c>
      <c r="E15" s="5">
        <v>0</v>
      </c>
      <c r="F15" s="9">
        <f t="shared" si="0"/>
        <v>1.0699999999999998</v>
      </c>
      <c r="G15" s="7"/>
    </row>
    <row r="16" spans="1:9" s="1" customFormat="1" ht="20.100000000000001" customHeight="1">
      <c r="B16" s="2">
        <v>9</v>
      </c>
      <c r="C16" s="8">
        <v>5.7479320385441763</v>
      </c>
      <c r="D16" s="78">
        <v>1.1000000000000001</v>
      </c>
      <c r="E16" s="5">
        <v>0</v>
      </c>
      <c r="F16" s="9">
        <f t="shared" si="0"/>
        <v>0.98000000000000009</v>
      </c>
      <c r="G16" s="7"/>
    </row>
    <row r="17" spans="1:7" s="1" customFormat="1" ht="20.100000000000001" customHeight="1">
      <c r="B17" s="2">
        <v>10</v>
      </c>
      <c r="C17" s="8">
        <v>5.2496428243110724</v>
      </c>
      <c r="D17" s="78">
        <v>1.03</v>
      </c>
      <c r="E17" s="5">
        <v>0</v>
      </c>
      <c r="F17" s="9">
        <f t="shared" si="0"/>
        <v>0.91</v>
      </c>
      <c r="G17" s="7"/>
    </row>
    <row r="18" spans="1:7" s="1" customFormat="1" ht="20.100000000000001" customHeight="1">
      <c r="B18" s="2">
        <v>11</v>
      </c>
      <c r="C18" s="8">
        <v>4.7181343291290938</v>
      </c>
      <c r="D18" s="78">
        <v>0.94</v>
      </c>
      <c r="E18" s="5">
        <v>0</v>
      </c>
      <c r="F18" s="9">
        <f t="shared" si="0"/>
        <v>0.82</v>
      </c>
      <c r="G18" s="7"/>
    </row>
    <row r="19" spans="1:7" s="1" customFormat="1" ht="20.100000000000001" customHeight="1">
      <c r="B19" s="2">
        <v>12</v>
      </c>
      <c r="C19" s="9">
        <v>4.1866258339471161</v>
      </c>
      <c r="D19" s="78">
        <v>0.82</v>
      </c>
      <c r="E19" s="5">
        <v>0</v>
      </c>
      <c r="F19" s="9">
        <f t="shared" si="0"/>
        <v>0.7</v>
      </c>
    </row>
    <row r="20" spans="1:7" s="1" customFormat="1" ht="20.100000000000001" customHeight="1">
      <c r="B20" s="2">
        <v>13</v>
      </c>
      <c r="C20" s="8">
        <v>3.6551173387651383</v>
      </c>
      <c r="D20" s="78">
        <v>0.72</v>
      </c>
      <c r="E20" s="5">
        <v>0</v>
      </c>
      <c r="F20" s="9">
        <f t="shared" si="0"/>
        <v>0.6</v>
      </c>
    </row>
    <row r="21" spans="1:7" s="1" customFormat="1" ht="20.100000000000001" customHeight="1">
      <c r="B21" s="2">
        <v>14</v>
      </c>
      <c r="C21" s="8">
        <v>3.1568281245320335</v>
      </c>
      <c r="D21" s="78">
        <v>0.63</v>
      </c>
      <c r="E21" s="5">
        <v>0</v>
      </c>
      <c r="F21" s="9">
        <f t="shared" si="0"/>
        <v>0.51</v>
      </c>
    </row>
    <row r="22" spans="1:7" s="1" customFormat="1" ht="20.100000000000001" customHeight="1">
      <c r="B22" s="2">
        <v>15</v>
      </c>
      <c r="C22" s="8">
        <v>2.6253196293500549</v>
      </c>
      <c r="D22" s="78">
        <v>0.54</v>
      </c>
      <c r="E22" s="5">
        <v>0</v>
      </c>
      <c r="F22" s="9">
        <f t="shared" si="0"/>
        <v>0.42000000000000004</v>
      </c>
    </row>
    <row r="23" spans="1:7" s="1" customFormat="1" ht="20.100000000000001" customHeight="1">
      <c r="B23" s="2">
        <v>16</v>
      </c>
      <c r="C23" s="8">
        <v>2.1602496960658257</v>
      </c>
      <c r="D23" s="78">
        <v>0.47</v>
      </c>
      <c r="E23" s="5">
        <v>0</v>
      </c>
      <c r="F23" s="9">
        <f t="shared" si="0"/>
        <v>0.35</v>
      </c>
    </row>
    <row r="24" spans="1:7" s="1" customFormat="1" ht="20.100000000000001" customHeight="1">
      <c r="B24" s="2">
        <v>17</v>
      </c>
      <c r="C24" s="8">
        <v>1.6287412008838462</v>
      </c>
      <c r="D24" s="78">
        <v>0.38</v>
      </c>
      <c r="E24" s="5">
        <v>0</v>
      </c>
      <c r="F24" s="9">
        <f t="shared" si="0"/>
        <v>0.26</v>
      </c>
    </row>
    <row r="25" spans="1:7" s="1" customFormat="1" ht="20.100000000000001" customHeight="1">
      <c r="B25" s="2">
        <v>18</v>
      </c>
      <c r="C25" s="8">
        <v>1.1304519866507423</v>
      </c>
      <c r="D25" s="78">
        <v>0.3</v>
      </c>
      <c r="E25" s="5">
        <v>0</v>
      </c>
      <c r="F25" s="9">
        <f t="shared" si="0"/>
        <v>0.18</v>
      </c>
    </row>
    <row r="26" spans="1:7" s="1" customFormat="1" ht="20.100000000000001" customHeight="1">
      <c r="B26" s="2">
        <v>19</v>
      </c>
      <c r="C26" s="8">
        <v>0.56572421051989075</v>
      </c>
      <c r="D26" s="78">
        <v>0.22</v>
      </c>
      <c r="E26" s="5">
        <v>0</v>
      </c>
      <c r="F26" s="9">
        <f t="shared" si="0"/>
        <v>0.1</v>
      </c>
    </row>
    <row r="27" spans="1:7" s="1" customFormat="1" ht="20.100000000000001" customHeight="1">
      <c r="B27" s="2">
        <v>20</v>
      </c>
      <c r="C27" s="8">
        <v>0.10065427723566067</v>
      </c>
      <c r="D27" s="78">
        <v>0.17</v>
      </c>
      <c r="E27" s="5">
        <v>0</v>
      </c>
      <c r="F27" s="9">
        <f t="shared" si="0"/>
        <v>5.0000000000000017E-2</v>
      </c>
    </row>
    <row r="28" spans="1:7" s="1" customFormat="1" ht="20.100000000000001" customHeight="1">
      <c r="B28" s="2">
        <v>21</v>
      </c>
      <c r="C28" s="8">
        <v>-0.43085421794631884</v>
      </c>
      <c r="D28" s="78">
        <v>0.12</v>
      </c>
      <c r="E28" s="24">
        <v>0</v>
      </c>
      <c r="F28" s="9">
        <f t="shared" si="0"/>
        <v>0</v>
      </c>
    </row>
    <row r="30" spans="1:7">
      <c r="A30" s="6" t="s">
        <v>14</v>
      </c>
    </row>
    <row r="31" spans="1:7">
      <c r="A31" s="25"/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>
    <oddFooter>&amp;L&amp;F&amp;C&amp;A&amp;R&amp;P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N15"/>
  <sheetViews>
    <sheetView tabSelected="1" zoomScaleNormal="85" workbookViewId="0">
      <selection activeCell="A3" sqref="A3"/>
    </sheetView>
  </sheetViews>
  <sheetFormatPr baseColWidth="10" defaultRowHeight="12.75"/>
  <cols>
    <col min="1" max="1" width="10.85546875" style="26" customWidth="1"/>
    <col min="2" max="2" width="4" style="26" customWidth="1"/>
    <col min="3" max="3" width="8.42578125" style="26" customWidth="1"/>
    <col min="4" max="4" width="4.5703125" style="27" customWidth="1"/>
    <col min="5" max="23" width="4" style="27" customWidth="1"/>
    <col min="24" max="24" width="4.85546875" style="27" customWidth="1"/>
    <col min="25" max="27" width="4" style="27" customWidth="1"/>
    <col min="28" max="28" width="4.7109375" style="27" customWidth="1"/>
    <col min="29" max="31" width="4" style="27" customWidth="1"/>
    <col min="32" max="32" width="4.42578125" style="27" customWidth="1"/>
    <col min="33" max="33" width="4" style="27" customWidth="1"/>
    <col min="34" max="34" width="4.85546875" style="27" customWidth="1"/>
    <col min="35" max="35" width="4" style="27" bestFit="1" customWidth="1"/>
    <col min="36" max="36" width="6.28515625" style="27" bestFit="1" customWidth="1"/>
    <col min="37" max="37" width="4" style="27" bestFit="1" customWidth="1"/>
    <col min="38" max="38" width="5.140625" style="27" bestFit="1" customWidth="1"/>
    <col min="39" max="39" width="4" style="27" bestFit="1" customWidth="1"/>
    <col min="40" max="40" width="3.7109375" style="27" bestFit="1" customWidth="1"/>
    <col min="41" max="16384" width="11.42578125" style="26"/>
  </cols>
  <sheetData>
    <row r="1" spans="1:40" s="32" customFormat="1" ht="11.25">
      <c r="C1" s="120" t="s">
        <v>2</v>
      </c>
      <c r="D1" s="122" t="str">
        <f>Messungen!B2</f>
        <v>FP4+</v>
      </c>
      <c r="E1" s="123"/>
      <c r="F1" s="123"/>
      <c r="G1" s="125" t="s">
        <v>5</v>
      </c>
      <c r="H1" s="126"/>
      <c r="I1" s="127"/>
      <c r="J1" s="123" t="str">
        <f>Messungen!B5</f>
        <v>XTOL</v>
      </c>
      <c r="K1" s="123"/>
      <c r="L1" s="123"/>
      <c r="M1" s="123"/>
      <c r="N1" s="145" t="s">
        <v>3</v>
      </c>
      <c r="O1" s="146"/>
      <c r="P1" s="146"/>
      <c r="Q1" s="147"/>
      <c r="R1" s="123" t="str">
        <f>Messungen!C5</f>
        <v>1+2</v>
      </c>
      <c r="S1" s="123"/>
      <c r="T1" s="160" t="s">
        <v>6</v>
      </c>
      <c r="U1" s="123"/>
      <c r="V1" s="165">
        <f>Messungen!D5</f>
        <v>0.45833333333333331</v>
      </c>
      <c r="W1" s="162"/>
      <c r="X1" s="160" t="s">
        <v>7</v>
      </c>
      <c r="Y1" s="123"/>
      <c r="Z1" s="123" t="str">
        <f>Messungen!E5</f>
        <v>15/30/1x</v>
      </c>
      <c r="AA1" s="123"/>
      <c r="AB1" s="132" t="s">
        <v>8</v>
      </c>
      <c r="AC1" s="132"/>
      <c r="AD1" s="135" t="str">
        <f>Messungen!F5</f>
        <v>20 °C</v>
      </c>
      <c r="AE1" s="162"/>
      <c r="AF1" s="160" t="s">
        <v>4</v>
      </c>
      <c r="AG1" s="123"/>
      <c r="AH1" s="155">
        <f>Messungen!C2</f>
        <v>39505</v>
      </c>
      <c r="AI1" s="156"/>
      <c r="AJ1" s="157"/>
      <c r="AK1" s="33"/>
      <c r="AL1" s="33"/>
      <c r="AM1" s="34"/>
      <c r="AN1" s="34"/>
    </row>
    <row r="2" spans="1:40" s="35" customFormat="1" ht="12" thickBot="1">
      <c r="C2" s="121"/>
      <c r="D2" s="124"/>
      <c r="E2" s="124"/>
      <c r="F2" s="124"/>
      <c r="G2" s="128"/>
      <c r="H2" s="129"/>
      <c r="I2" s="130"/>
      <c r="J2" s="124"/>
      <c r="K2" s="124"/>
      <c r="L2" s="124"/>
      <c r="M2" s="124"/>
      <c r="N2" s="148"/>
      <c r="O2" s="149"/>
      <c r="P2" s="149"/>
      <c r="Q2" s="150"/>
      <c r="R2" s="124"/>
      <c r="S2" s="124"/>
      <c r="T2" s="124"/>
      <c r="U2" s="124"/>
      <c r="V2" s="163"/>
      <c r="W2" s="164"/>
      <c r="X2" s="124"/>
      <c r="Y2" s="124"/>
      <c r="Z2" s="124"/>
      <c r="AA2" s="124"/>
      <c r="AB2" s="161"/>
      <c r="AC2" s="161"/>
      <c r="AD2" s="163"/>
      <c r="AE2" s="164"/>
      <c r="AF2" s="124"/>
      <c r="AG2" s="124"/>
      <c r="AH2" s="158"/>
      <c r="AI2" s="158"/>
      <c r="AJ2" s="159"/>
      <c r="AK2" s="33"/>
      <c r="AL2" s="33"/>
      <c r="AM2" s="37"/>
    </row>
    <row r="3" spans="1:40" s="32" customFormat="1" ht="11.25">
      <c r="C3" s="116" t="s">
        <v>11</v>
      </c>
      <c r="D3" s="117"/>
      <c r="E3" s="117"/>
      <c r="F3" s="117"/>
      <c r="G3" s="131" t="s">
        <v>24</v>
      </c>
      <c r="H3" s="132"/>
      <c r="I3" s="132"/>
      <c r="J3" s="135">
        <f>Messungen!D2</f>
        <v>19</v>
      </c>
      <c r="K3" s="137" t="s">
        <v>25</v>
      </c>
      <c r="L3" s="139" t="s">
        <v>26</v>
      </c>
      <c r="M3" s="140"/>
      <c r="N3" s="140"/>
      <c r="O3" s="141"/>
      <c r="P3" s="151">
        <f>J3+AB10*3</f>
        <v>20.350000000000001</v>
      </c>
      <c r="Q3" s="153" t="s">
        <v>25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9"/>
      <c r="AK3" s="36"/>
      <c r="AL3" s="36"/>
    </row>
    <row r="4" spans="1:40" s="32" customFormat="1" ht="12" thickBot="1">
      <c r="C4" s="118"/>
      <c r="D4" s="119"/>
      <c r="E4" s="119"/>
      <c r="F4" s="119"/>
      <c r="G4" s="133"/>
      <c r="H4" s="134"/>
      <c r="I4" s="134"/>
      <c r="J4" s="136"/>
      <c r="K4" s="138"/>
      <c r="L4" s="142"/>
      <c r="M4" s="143"/>
      <c r="N4" s="143"/>
      <c r="O4" s="144"/>
      <c r="P4" s="152"/>
      <c r="Q4" s="154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105" t="str">
        <f>Ausgleichsrechnung!E4</f>
        <v>V2</v>
      </c>
      <c r="AK4" s="36"/>
      <c r="AL4" s="36"/>
    </row>
    <row r="5" spans="1:40" s="32" customFormat="1" ht="12" thickBot="1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0" s="34" customFormat="1" ht="11.25">
      <c r="A6" s="87" t="s">
        <v>19</v>
      </c>
      <c r="B6" s="43"/>
      <c r="C6" s="44" t="s">
        <v>0</v>
      </c>
      <c r="D6" s="45">
        <v>0</v>
      </c>
      <c r="E6" s="46">
        <v>0.33333333333333331</v>
      </c>
      <c r="F6" s="46">
        <v>0.66666666666666663</v>
      </c>
      <c r="G6" s="47">
        <v>1</v>
      </c>
      <c r="H6" s="46">
        <v>1.3333333333333333</v>
      </c>
      <c r="I6" s="46">
        <v>1.6666666666666665</v>
      </c>
      <c r="J6" s="46">
        <v>2</v>
      </c>
      <c r="K6" s="46">
        <v>2.333333333333333</v>
      </c>
      <c r="L6" s="46">
        <v>2.6666666666666665</v>
      </c>
      <c r="M6" s="46">
        <v>3</v>
      </c>
      <c r="N6" s="46">
        <v>3.3333333333333335</v>
      </c>
      <c r="O6" s="46">
        <v>3.666666666666667</v>
      </c>
      <c r="P6" s="46">
        <v>4</v>
      </c>
      <c r="Q6" s="46">
        <v>4.333333333333333</v>
      </c>
      <c r="R6" s="46">
        <v>4.6666666666666661</v>
      </c>
      <c r="S6" s="46">
        <v>5</v>
      </c>
      <c r="T6" s="46">
        <v>5.3333333333333321</v>
      </c>
      <c r="U6" s="46">
        <v>5.6666666666666652</v>
      </c>
      <c r="V6" s="46">
        <v>6</v>
      </c>
      <c r="W6" s="46">
        <v>6.3333333333333313</v>
      </c>
      <c r="X6" s="46">
        <v>6.6666666666666643</v>
      </c>
      <c r="Y6" s="46">
        <v>7</v>
      </c>
      <c r="Z6" s="46">
        <v>7.3333333333333304</v>
      </c>
      <c r="AA6" s="46">
        <v>7.6666666666666634</v>
      </c>
      <c r="AB6" s="47">
        <v>8</v>
      </c>
      <c r="AC6" s="46">
        <v>8.3333333333333304</v>
      </c>
      <c r="AD6" s="46">
        <v>8.6666666666666643</v>
      </c>
      <c r="AE6" s="46">
        <v>9</v>
      </c>
      <c r="AF6" s="46">
        <v>9.3333333333333321</v>
      </c>
      <c r="AG6" s="46">
        <v>9.6666666666666661</v>
      </c>
      <c r="AH6" s="48">
        <v>10</v>
      </c>
    </row>
    <row r="7" spans="1:40" s="54" customFormat="1" ht="12" thickBot="1">
      <c r="A7" s="31" t="s">
        <v>28</v>
      </c>
      <c r="B7" s="49">
        <v>1</v>
      </c>
      <c r="C7" s="50" t="s">
        <v>35</v>
      </c>
      <c r="D7" s="51">
        <f>0*B7</f>
        <v>0</v>
      </c>
      <c r="E7" s="51">
        <f>0.03*B7</f>
        <v>0.03</v>
      </c>
      <c r="F7" s="51">
        <f>0.07*B7</f>
        <v>7.0000000000000007E-2</v>
      </c>
      <c r="G7" s="52">
        <f>0.1*B7</f>
        <v>0.1</v>
      </c>
      <c r="H7" s="51">
        <f>0.14*B7</f>
        <v>0.14000000000000001</v>
      </c>
      <c r="I7" s="51">
        <f>0.19*B7</f>
        <v>0.19</v>
      </c>
      <c r="J7" s="51">
        <f>0.24*B7</f>
        <v>0.24</v>
      </c>
      <c r="K7" s="51">
        <f>0.28*B7</f>
        <v>0.28000000000000003</v>
      </c>
      <c r="L7" s="51">
        <f>0.33*B7</f>
        <v>0.33</v>
      </c>
      <c r="M7" s="51">
        <f>0.38*B7</f>
        <v>0.38</v>
      </c>
      <c r="N7" s="51">
        <f>0.43*B7</f>
        <v>0.43</v>
      </c>
      <c r="O7" s="51">
        <f>0.49*B7</f>
        <v>0.49</v>
      </c>
      <c r="P7" s="51">
        <f>0.54*B7</f>
        <v>0.54</v>
      </c>
      <c r="Q7" s="51">
        <f>0.6*B7</f>
        <v>0.6</v>
      </c>
      <c r="R7" s="51">
        <f>0.66*B7</f>
        <v>0.66</v>
      </c>
      <c r="S7" s="51">
        <f>0.72*B7</f>
        <v>0.72</v>
      </c>
      <c r="T7" s="51">
        <f>0.78*B7</f>
        <v>0.78</v>
      </c>
      <c r="U7" s="51">
        <f>0.84*B7</f>
        <v>0.84</v>
      </c>
      <c r="V7" s="51">
        <f>0.9*B7</f>
        <v>0.9</v>
      </c>
      <c r="W7" s="51">
        <f>0.97*B7</f>
        <v>0.97</v>
      </c>
      <c r="X7" s="51">
        <f>1.03*B7</f>
        <v>1.03</v>
      </c>
      <c r="Y7" s="51">
        <f>1.1*B7</f>
        <v>1.1000000000000001</v>
      </c>
      <c r="Z7" s="51">
        <f>1.16*B7</f>
        <v>1.1599999999999999</v>
      </c>
      <c r="AA7" s="51">
        <f>1.22*B7</f>
        <v>1.22</v>
      </c>
      <c r="AB7" s="52">
        <f>1.29*B7</f>
        <v>1.29</v>
      </c>
      <c r="AC7" s="51">
        <f>B7*1.35</f>
        <v>1.35</v>
      </c>
      <c r="AD7" s="51">
        <f>B7*1.42</f>
        <v>1.42</v>
      </c>
      <c r="AE7" s="51">
        <f>B7*1.48</f>
        <v>1.48</v>
      </c>
      <c r="AF7" s="51">
        <f>B7*1.55</f>
        <v>1.55</v>
      </c>
      <c r="AG7" s="51">
        <f>B7*1.61</f>
        <v>1.61</v>
      </c>
      <c r="AH7" s="53">
        <f>B7*1.67</f>
        <v>1.67</v>
      </c>
    </row>
    <row r="8" spans="1:40" s="54" customFormat="1" ht="11.25">
      <c r="B8" s="55"/>
      <c r="C8" s="56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40" s="32" customFormat="1" ht="12" thickBot="1">
      <c r="C9" s="57" t="s">
        <v>0</v>
      </c>
      <c r="D9" s="58">
        <f>Messungen!C28</f>
        <v>-0.43085421794631884</v>
      </c>
      <c r="E9" s="58">
        <f>Messungen!C27</f>
        <v>0.10065427723566067</v>
      </c>
      <c r="F9" s="58">
        <f>Messungen!C26</f>
        <v>0.56572421051989075</v>
      </c>
      <c r="G9" s="58">
        <f>Messungen!C25</f>
        <v>1.1304519866507423</v>
      </c>
      <c r="H9" s="58">
        <f>Messungen!C24</f>
        <v>1.6287412008838462</v>
      </c>
      <c r="I9" s="58">
        <f>Messungen!C23</f>
        <v>2.1602496960658257</v>
      </c>
      <c r="J9" s="58">
        <f>Messungen!C22</f>
        <v>2.6253196293500549</v>
      </c>
      <c r="K9" s="58">
        <f>Messungen!C21</f>
        <v>3.1568281245320335</v>
      </c>
      <c r="L9" s="58">
        <f>Messungen!C20</f>
        <v>3.6551173387651383</v>
      </c>
      <c r="M9" s="58">
        <f>Messungen!C19</f>
        <v>4.1866258339471161</v>
      </c>
      <c r="N9" s="58">
        <f>Messungen!$C18</f>
        <v>4.7181343291290938</v>
      </c>
      <c r="O9" s="58">
        <f>Messungen!$C17</f>
        <v>5.2496428243110724</v>
      </c>
      <c r="P9" s="58">
        <f>Messungen!$C16</f>
        <v>5.7479320385441763</v>
      </c>
      <c r="Q9" s="58">
        <f>Messungen!$C15</f>
        <v>6.3126598146750279</v>
      </c>
      <c r="R9" s="58">
        <f>Messungen!$C14</f>
        <v>6.777729747959258</v>
      </c>
      <c r="S9" s="58">
        <f>Messungen!$C13</f>
        <v>7.2760189621923637</v>
      </c>
      <c r="T9" s="58">
        <f>Messungen!$C12</f>
        <v>7.8407467383232143</v>
      </c>
      <c r="U9" s="58">
        <f>Messungen!$C11</f>
        <v>8.3390359525563191</v>
      </c>
      <c r="V9" s="58">
        <f>Messungen!$C10</f>
        <v>8.8041058858405492</v>
      </c>
      <c r="W9" s="58">
        <f>Messungen!$C9</f>
        <v>9.3356143810225269</v>
      </c>
      <c r="X9" s="58">
        <f>Messungen!$C8</f>
        <v>9.8671228762045047</v>
      </c>
      <c r="Y9" s="59"/>
      <c r="Z9" s="60"/>
      <c r="AA9" s="60"/>
      <c r="AB9" s="60"/>
      <c r="AC9" s="5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1:40" s="32" customFormat="1" ht="12" thickBot="1">
      <c r="A10" s="42" t="s">
        <v>17</v>
      </c>
      <c r="B10" s="43"/>
      <c r="C10" s="61" t="s">
        <v>20</v>
      </c>
      <c r="D10" s="62">
        <f t="shared" ref="D10:X10" si="0">D9+$AB$10</f>
        <v>1.9145782053681171E-2</v>
      </c>
      <c r="E10" s="62">
        <f t="shared" si="0"/>
        <v>0.55065427723566063</v>
      </c>
      <c r="F10" s="62">
        <f t="shared" si="0"/>
        <v>1.0157242105198907</v>
      </c>
      <c r="G10" s="62">
        <f t="shared" si="0"/>
        <v>1.5804519866507423</v>
      </c>
      <c r="H10" s="62">
        <f t="shared" si="0"/>
        <v>2.0787412008838464</v>
      </c>
      <c r="I10" s="62">
        <f t="shared" si="0"/>
        <v>2.6102496960658259</v>
      </c>
      <c r="J10" s="62">
        <f t="shared" si="0"/>
        <v>3.0753196293500551</v>
      </c>
      <c r="K10" s="62">
        <f t="shared" si="0"/>
        <v>3.6068281245320337</v>
      </c>
      <c r="L10" s="62">
        <f t="shared" si="0"/>
        <v>4.1051173387651385</v>
      </c>
      <c r="M10" s="62">
        <f t="shared" si="0"/>
        <v>4.6366258339471162</v>
      </c>
      <c r="N10" s="62">
        <f t="shared" si="0"/>
        <v>5.168134329129094</v>
      </c>
      <c r="O10" s="62">
        <f t="shared" si="0"/>
        <v>5.6996428243110726</v>
      </c>
      <c r="P10" s="62">
        <f t="shared" si="0"/>
        <v>6.1979320385441765</v>
      </c>
      <c r="Q10" s="62">
        <f t="shared" si="0"/>
        <v>6.7626598146750281</v>
      </c>
      <c r="R10" s="62">
        <f t="shared" si="0"/>
        <v>7.2277297479592582</v>
      </c>
      <c r="S10" s="62">
        <f t="shared" si="0"/>
        <v>7.7260189621923638</v>
      </c>
      <c r="T10" s="62">
        <f t="shared" si="0"/>
        <v>8.2907467383232145</v>
      </c>
      <c r="U10" s="62">
        <f t="shared" si="0"/>
        <v>8.7890359525563184</v>
      </c>
      <c r="V10" s="62">
        <f t="shared" si="0"/>
        <v>9.2541058858405485</v>
      </c>
      <c r="W10" s="62">
        <f t="shared" si="0"/>
        <v>9.7856143810225262</v>
      </c>
      <c r="X10" s="63">
        <f t="shared" si="0"/>
        <v>10.317122876204504</v>
      </c>
      <c r="Y10" s="59"/>
      <c r="Z10" s="64" t="s">
        <v>21</v>
      </c>
      <c r="AA10" s="65"/>
      <c r="AB10" s="107">
        <v>0.45</v>
      </c>
      <c r="AC10" s="59"/>
      <c r="AD10" s="112" t="s">
        <v>23</v>
      </c>
      <c r="AE10" s="108"/>
      <c r="AF10" s="109">
        <f>Ausgleichsrechnung!B27</f>
        <v>9.9195427001155134E-2</v>
      </c>
      <c r="AG10" s="41"/>
      <c r="AH10" s="41"/>
      <c r="AI10" s="41"/>
      <c r="AJ10" s="41"/>
      <c r="AK10" s="41"/>
      <c r="AL10" s="41"/>
      <c r="AM10" s="41"/>
      <c r="AN10" s="41"/>
    </row>
    <row r="11" spans="1:40" s="32" customFormat="1" ht="12" thickBot="1">
      <c r="A11" s="66"/>
      <c r="B11" s="67"/>
      <c r="C11" s="68" t="s">
        <v>35</v>
      </c>
      <c r="D11" s="69">
        <f>Messungen!$F28</f>
        <v>0</v>
      </c>
      <c r="E11" s="69">
        <f>Messungen!$F27</f>
        <v>5.0000000000000017E-2</v>
      </c>
      <c r="F11" s="69">
        <f>Messungen!$F26</f>
        <v>0.1</v>
      </c>
      <c r="G11" s="69">
        <f>Messungen!$F25</f>
        <v>0.18</v>
      </c>
      <c r="H11" s="69">
        <f>Messungen!$F24</f>
        <v>0.26</v>
      </c>
      <c r="I11" s="69">
        <f>Messungen!$F23</f>
        <v>0.35</v>
      </c>
      <c r="J11" s="69">
        <f>Messungen!$F22</f>
        <v>0.42000000000000004</v>
      </c>
      <c r="K11" s="69">
        <f>Messungen!$F21</f>
        <v>0.51</v>
      </c>
      <c r="L11" s="69">
        <f>Messungen!$F20</f>
        <v>0.6</v>
      </c>
      <c r="M11" s="69">
        <f>Messungen!$F19</f>
        <v>0.7</v>
      </c>
      <c r="N11" s="69">
        <f>Messungen!$F18</f>
        <v>0.82</v>
      </c>
      <c r="O11" s="69">
        <f>Messungen!$F17</f>
        <v>0.91</v>
      </c>
      <c r="P11" s="69">
        <f>Messungen!$F16</f>
        <v>0.98000000000000009</v>
      </c>
      <c r="Q11" s="69">
        <f>Messungen!$F15</f>
        <v>1.0699999999999998</v>
      </c>
      <c r="R11" s="69">
        <f>Messungen!$F14</f>
        <v>1.17</v>
      </c>
      <c r="S11" s="69">
        <f>Messungen!$F13</f>
        <v>1.25</v>
      </c>
      <c r="T11" s="69">
        <f>Messungen!$F12</f>
        <v>1.35</v>
      </c>
      <c r="U11" s="69">
        <f>Messungen!$F11</f>
        <v>1.44</v>
      </c>
      <c r="V11" s="69">
        <f>Messungen!$F10</f>
        <v>1.52</v>
      </c>
      <c r="W11" s="69">
        <f>Messungen!$F9</f>
        <v>1.6</v>
      </c>
      <c r="X11" s="70">
        <f>Messungen!$F8</f>
        <v>1.67</v>
      </c>
      <c r="Y11" s="41"/>
      <c r="Z11" s="113" t="s">
        <v>22</v>
      </c>
      <c r="AA11" s="114"/>
      <c r="AB11" s="106">
        <f>Ausgleichsrechnung!B30</f>
        <v>0.5711572109358799</v>
      </c>
      <c r="AC11" s="41"/>
      <c r="AD11" s="112" t="s">
        <v>27</v>
      </c>
      <c r="AE11" s="110" t="str">
        <f>IF(AF11&gt;0,"N+","N")</f>
        <v>N+</v>
      </c>
      <c r="AF11" s="111">
        <f>'N+-'!B9</f>
        <v>7.3226710343523571E-2</v>
      </c>
      <c r="AG11" s="41"/>
      <c r="AH11" s="41"/>
      <c r="AI11" s="41"/>
      <c r="AJ11" s="41"/>
      <c r="AK11" s="41"/>
      <c r="AL11" s="41"/>
      <c r="AM11" s="41"/>
      <c r="AN11" s="41"/>
    </row>
    <row r="12" spans="1:40">
      <c r="E12" s="28">
        <f>(E11-D11)/(E10-D10)/LOG10(2)</f>
        <v>0.31249999999999917</v>
      </c>
      <c r="F12" s="28">
        <f t="shared" ref="F12:X12" si="1">(F11-E11)/(F10-E10)/LOG10(2)</f>
        <v>0.35714285714285754</v>
      </c>
      <c r="G12" s="28">
        <f t="shared" si="1"/>
        <v>0.47058823529411759</v>
      </c>
      <c r="H12" s="28">
        <f t="shared" si="1"/>
        <v>0.53333333333333366</v>
      </c>
      <c r="I12" s="28">
        <f t="shared" si="1"/>
        <v>0.56249999999999811</v>
      </c>
      <c r="J12" s="28">
        <f t="shared" si="1"/>
        <v>0.50000000000000211</v>
      </c>
      <c r="K12" s="28">
        <f t="shared" si="1"/>
        <v>0.56249999999999911</v>
      </c>
      <c r="L12" s="28">
        <f t="shared" si="1"/>
        <v>0.5999999999999992</v>
      </c>
      <c r="M12" s="28">
        <f t="shared" si="1"/>
        <v>0.62500000000000011</v>
      </c>
      <c r="N12" s="28">
        <f t="shared" si="1"/>
        <v>0.75000000000000033</v>
      </c>
      <c r="O12" s="28">
        <f t="shared" si="1"/>
        <v>0.56249999999999978</v>
      </c>
      <c r="P12" s="28">
        <f t="shared" si="1"/>
        <v>0.46666666666666751</v>
      </c>
      <c r="Q12" s="28">
        <f t="shared" si="1"/>
        <v>0.52941176470588092</v>
      </c>
      <c r="R12" s="28">
        <f t="shared" si="1"/>
        <v>0.71428571428571597</v>
      </c>
      <c r="S12" s="28">
        <f t="shared" si="1"/>
        <v>0.53333333333333244</v>
      </c>
      <c r="T12" s="28">
        <f t="shared" si="1"/>
        <v>0.58823529411764852</v>
      </c>
      <c r="U12" s="28">
        <f t="shared" si="1"/>
        <v>0.59999999999999964</v>
      </c>
      <c r="V12" s="28">
        <f t="shared" si="1"/>
        <v>0.57142857142857273</v>
      </c>
      <c r="W12" s="28">
        <f t="shared" si="1"/>
        <v>0.50000000000000067</v>
      </c>
      <c r="X12" s="28">
        <f t="shared" si="1"/>
        <v>0.43749999999999917</v>
      </c>
    </row>
    <row r="14" spans="1:40">
      <c r="AF14" s="27">
        <f>lgDZoneI()</f>
        <v>0.10145230781436532</v>
      </c>
    </row>
    <row r="15" spans="1:40">
      <c r="AF15" s="27">
        <f>FindeZoneN()</f>
        <v>6.9094587555030964</v>
      </c>
    </row>
  </sheetData>
  <mergeCells count="21">
    <mergeCell ref="AH1:AJ2"/>
    <mergeCell ref="AF1:AG2"/>
    <mergeCell ref="R1:S2"/>
    <mergeCell ref="AB1:AC2"/>
    <mergeCell ref="T1:U2"/>
    <mergeCell ref="AD1:AE2"/>
    <mergeCell ref="V1:W2"/>
    <mergeCell ref="X1:Y2"/>
    <mergeCell ref="Z1:AA2"/>
    <mergeCell ref="J3:J4"/>
    <mergeCell ref="K3:K4"/>
    <mergeCell ref="L3:O4"/>
    <mergeCell ref="J1:M2"/>
    <mergeCell ref="N1:Q2"/>
    <mergeCell ref="P3:P4"/>
    <mergeCell ref="Q3:Q4"/>
    <mergeCell ref="C3:F4"/>
    <mergeCell ref="C1:C2"/>
    <mergeCell ref="D1:F2"/>
    <mergeCell ref="G1:I2"/>
    <mergeCell ref="G3:I4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7" orientation="landscape" r:id="rId1"/>
  <headerFooter alignWithMargins="0"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C27" sqref="C27"/>
    </sheetView>
  </sheetViews>
  <sheetFormatPr baseColWidth="10" defaultRowHeight="12.75"/>
  <cols>
    <col min="1" max="1" width="7.28515625" style="72" customWidth="1"/>
    <col min="2" max="2" width="7" style="72" customWidth="1"/>
    <col min="3" max="3" width="9.85546875" style="79" customWidth="1"/>
    <col min="5" max="5" width="8.7109375" customWidth="1"/>
    <col min="6" max="6" width="11.42578125" style="73"/>
  </cols>
  <sheetData>
    <row r="1" spans="1:7" s="76" customFormat="1" ht="39">
      <c r="A1" s="75" t="s">
        <v>20</v>
      </c>
      <c r="B1" s="75" t="s">
        <v>35</v>
      </c>
      <c r="C1" s="77" t="s">
        <v>48</v>
      </c>
      <c r="D1" s="75" t="s">
        <v>32</v>
      </c>
      <c r="E1" s="75" t="s">
        <v>31</v>
      </c>
      <c r="F1" s="82" t="s">
        <v>30</v>
      </c>
    </row>
    <row r="2" spans="1:7">
      <c r="A2" s="80">
        <f>Auswertung!D$10</f>
        <v>1.9145782053681171E-2</v>
      </c>
      <c r="B2" s="80">
        <f>Auswertung!D$11</f>
        <v>0</v>
      </c>
      <c r="C2" s="81">
        <f>$F$7+$F$6*A2+$F$5*A2^2+$F$4*A2^3+$F$3*A2^4+$F$2*A2^5</f>
        <v>1.915433769781131E-3</v>
      </c>
      <c r="D2" s="85">
        <f>(B2-C2)^2</f>
        <v>3.6688865264179546E-6</v>
      </c>
      <c r="E2" s="91">
        <f>SUM(D2:D22)</f>
        <v>1.219050762005949E-3</v>
      </c>
      <c r="F2" s="93">
        <f t="array" ref="F2:F7">TRANSPOSE(LINEST(B2:B22,A2:A22^{0,1,2,3,4,5},0,0))</f>
        <v>-1.8905146048334545E-5</v>
      </c>
      <c r="G2" s="41" t="s">
        <v>39</v>
      </c>
    </row>
    <row r="3" spans="1:7">
      <c r="A3" s="71">
        <f>Auswertung!E$10</f>
        <v>0.55065427723566063</v>
      </c>
      <c r="B3" s="71">
        <f>Auswertung!E$11</f>
        <v>5.0000000000000017E-2</v>
      </c>
      <c r="C3" s="81">
        <f t="shared" ref="C3:C21" si="0">$F$7+$F$6*A3+$F$5*A3^2+$F$4*A3^3+$F$3*A3^4+$F$2*A3^5</f>
        <v>4.746662828147323E-2</v>
      </c>
      <c r="D3" s="86">
        <f t="shared" ref="D3:D22" si="1">(B3-C3)^2</f>
        <v>6.4179722642313624E-6</v>
      </c>
      <c r="E3" s="79"/>
      <c r="F3" s="93">
        <v>5.5959330872698402E-4</v>
      </c>
      <c r="G3" s="41" t="s">
        <v>40</v>
      </c>
    </row>
    <row r="4" spans="1:7">
      <c r="A4" s="71">
        <f>Auswertung!F$10</f>
        <v>1.0157242105198907</v>
      </c>
      <c r="B4" s="71">
        <f>Auswertung!F$11</f>
        <v>0.1</v>
      </c>
      <c r="C4" s="81">
        <f t="shared" si="0"/>
        <v>0.10118621418212954</v>
      </c>
      <c r="D4" s="86">
        <f t="shared" si="1"/>
        <v>1.4071040858852502E-6</v>
      </c>
      <c r="E4" s="92" t="s">
        <v>38</v>
      </c>
      <c r="F4" s="93">
        <v>-6.6746775574605781E-3</v>
      </c>
      <c r="G4" s="41" t="s">
        <v>41</v>
      </c>
    </row>
    <row r="5" spans="1:7">
      <c r="A5" s="71">
        <f>Auswertung!G$10</f>
        <v>1.5804519866507423</v>
      </c>
      <c r="B5" s="71">
        <f>Auswertung!G$11</f>
        <v>0.18</v>
      </c>
      <c r="C5" s="81">
        <f t="shared" si="0"/>
        <v>0.17924021430936846</v>
      </c>
      <c r="D5" s="86">
        <f t="shared" si="1"/>
        <v>5.7727429568844169E-7</v>
      </c>
      <c r="E5" s="79"/>
      <c r="F5" s="93">
        <v>3.9455337096832382E-2</v>
      </c>
      <c r="G5" s="41" t="s">
        <v>42</v>
      </c>
    </row>
    <row r="6" spans="1:7">
      <c r="A6" s="71">
        <f>Auswertung!H$10</f>
        <v>2.0787412008838464</v>
      </c>
      <c r="B6" s="71">
        <f>Auswertung!H$11</f>
        <v>0.26</v>
      </c>
      <c r="C6" s="81">
        <f t="shared" si="0"/>
        <v>0.25648385566760523</v>
      </c>
      <c r="D6" s="86">
        <f t="shared" si="1"/>
        <v>1.2363270966231913E-5</v>
      </c>
      <c r="E6" s="79"/>
      <c r="F6" s="93">
        <v>6.5221783601578612E-2</v>
      </c>
      <c r="G6" s="41" t="s">
        <v>43</v>
      </c>
    </row>
    <row r="7" spans="1:7">
      <c r="A7" s="71">
        <f>Auswertung!I$10</f>
        <v>2.6102496960658259</v>
      </c>
      <c r="B7" s="71">
        <f>Auswertung!I$11</f>
        <v>0.35</v>
      </c>
      <c r="C7" s="81">
        <f t="shared" si="0"/>
        <v>0.34470241927162126</v>
      </c>
      <c r="D7" s="86">
        <f t="shared" si="1"/>
        <v>2.8064361573689552E-5</v>
      </c>
      <c r="E7" s="79"/>
      <c r="F7" s="93">
        <v>6.52295697526079E-4</v>
      </c>
      <c r="G7" s="41" t="s">
        <v>44</v>
      </c>
    </row>
    <row r="8" spans="1:7">
      <c r="A8" s="71">
        <f>Auswertung!J$10</f>
        <v>3.0753196293500551</v>
      </c>
      <c r="B8" s="71">
        <f>Auswertung!J$11</f>
        <v>0.42000000000000004</v>
      </c>
      <c r="C8" s="81">
        <f t="shared" si="0"/>
        <v>0.42510186014930929</v>
      </c>
      <c r="D8" s="86">
        <f t="shared" si="1"/>
        <v>2.6028976983109754E-5</v>
      </c>
      <c r="E8" s="79"/>
    </row>
    <row r="9" spans="1:7">
      <c r="A9" s="71">
        <f>Auswertung!K$10</f>
        <v>3.6068281245320337</v>
      </c>
      <c r="B9" s="71">
        <f>Auswertung!K$11</f>
        <v>0.51</v>
      </c>
      <c r="C9" s="81">
        <f t="shared" si="0"/>
        <v>0.51915495967432623</v>
      </c>
      <c r="D9" s="86">
        <f t="shared" si="1"/>
        <v>8.3813286638539326E-5</v>
      </c>
      <c r="E9" s="79"/>
    </row>
    <row r="10" spans="1:7">
      <c r="A10" s="71">
        <f>Auswertung!L$10</f>
        <v>4.1051173387651385</v>
      </c>
      <c r="B10" s="71">
        <f>Auswertung!L$11</f>
        <v>0.6</v>
      </c>
      <c r="C10" s="81">
        <f t="shared" si="0"/>
        <v>0.60842494989779405</v>
      </c>
      <c r="D10" s="86">
        <f t="shared" si="1"/>
        <v>7.0979780780340419E-5</v>
      </c>
      <c r="E10" s="79"/>
    </row>
    <row r="11" spans="1:7">
      <c r="A11" s="71">
        <f>Auswertung!M$10</f>
        <v>4.6366258339471162</v>
      </c>
      <c r="B11" s="71">
        <f>Auswertung!M$11</f>
        <v>0.7</v>
      </c>
      <c r="C11" s="81">
        <f t="shared" si="0"/>
        <v>0.70407342358858771</v>
      </c>
      <c r="D11" s="86">
        <f t="shared" si="1"/>
        <v>1.659277973206314E-5</v>
      </c>
      <c r="E11" s="79"/>
    </row>
    <row r="12" spans="1:7">
      <c r="A12" s="71">
        <f>Auswertung!N$10</f>
        <v>5.168134329129094</v>
      </c>
      <c r="B12" s="71">
        <f>Auswertung!N$11</f>
        <v>0.82</v>
      </c>
      <c r="C12" s="81">
        <f t="shared" si="0"/>
        <v>0.79971224639243421</v>
      </c>
      <c r="D12" s="86">
        <f t="shared" si="1"/>
        <v>4.1159294644129666E-4</v>
      </c>
      <c r="E12" s="79"/>
    </row>
    <row r="13" spans="1:7">
      <c r="A13" s="71">
        <f>Auswertung!O$10</f>
        <v>5.6996428243110726</v>
      </c>
      <c r="B13" s="71">
        <f>Auswertung!O$11</f>
        <v>0.91</v>
      </c>
      <c r="C13" s="81">
        <f t="shared" si="0"/>
        <v>0.89510879476918059</v>
      </c>
      <c r="D13" s="86">
        <f t="shared" si="1"/>
        <v>2.2174799322638417E-4</v>
      </c>
      <c r="E13" s="79"/>
    </row>
    <row r="14" spans="1:7">
      <c r="A14" s="71">
        <f>Auswertung!P$10</f>
        <v>6.1979320385441765</v>
      </c>
      <c r="B14" s="71">
        <f>Auswertung!P$11</f>
        <v>0.98000000000000009</v>
      </c>
      <c r="C14" s="81">
        <f t="shared" si="0"/>
        <v>0.98423637445211409</v>
      </c>
      <c r="D14" s="86">
        <f t="shared" si="1"/>
        <v>1.7946868498524194E-5</v>
      </c>
      <c r="E14" s="79"/>
    </row>
    <row r="15" spans="1:7">
      <c r="A15" s="71">
        <f>Auswertung!Q$10</f>
        <v>6.7626598146750281</v>
      </c>
      <c r="B15" s="71">
        <f>Auswertung!Q$11</f>
        <v>1.0699999999999998</v>
      </c>
      <c r="C15" s="81">
        <f t="shared" si="0"/>
        <v>1.0848289851435335</v>
      </c>
      <c r="D15" s="86">
        <f t="shared" si="1"/>
        <v>2.1989880038714323E-4</v>
      </c>
      <c r="E15" s="79"/>
    </row>
    <row r="16" spans="1:7">
      <c r="A16" s="71">
        <f>Auswertung!R$10</f>
        <v>7.2277297479592582</v>
      </c>
      <c r="B16" s="71">
        <f>Auswertung!R$11</f>
        <v>1.17</v>
      </c>
      <c r="C16" s="81">
        <f t="shared" si="0"/>
        <v>1.1672487089938821</v>
      </c>
      <c r="D16" s="86">
        <f t="shared" si="1"/>
        <v>7.5696022003447922E-6</v>
      </c>
      <c r="E16" s="79"/>
    </row>
    <row r="17" spans="1:5">
      <c r="A17" s="71">
        <f>Auswertung!S$10</f>
        <v>7.7260189621923638</v>
      </c>
      <c r="B17" s="71">
        <f>Auswertung!S$11</f>
        <v>1.25</v>
      </c>
      <c r="C17" s="81">
        <f t="shared" si="0"/>
        <v>1.2549330840571447</v>
      </c>
      <c r="D17" s="86">
        <f t="shared" si="1"/>
        <v>2.4335318314854764E-5</v>
      </c>
      <c r="E17" s="79"/>
    </row>
    <row r="18" spans="1:5">
      <c r="A18" s="71">
        <f>Auswertung!T$10</f>
        <v>8.2907467383232145</v>
      </c>
      <c r="B18" s="71">
        <f>Auswertung!T$11</f>
        <v>1.35</v>
      </c>
      <c r="C18" s="81">
        <f t="shared" si="0"/>
        <v>1.3530401068337796</v>
      </c>
      <c r="D18" s="86">
        <f t="shared" si="1"/>
        <v>9.242249560793013E-6</v>
      </c>
      <c r="E18" s="79"/>
    </row>
    <row r="19" spans="1:5">
      <c r="A19" s="71">
        <f>Auswertung!U$10</f>
        <v>8.7890359525563184</v>
      </c>
      <c r="B19" s="71">
        <f>Auswertung!U$11</f>
        <v>1.44</v>
      </c>
      <c r="C19" s="81">
        <f t="shared" si="0"/>
        <v>1.4377525303620298</v>
      </c>
      <c r="D19" s="86">
        <f t="shared" si="1"/>
        <v>5.0511197735978056E-6</v>
      </c>
      <c r="E19" s="79"/>
    </row>
    <row r="20" spans="1:5">
      <c r="A20" s="71">
        <f>Auswertung!V$10</f>
        <v>9.2541058858405485</v>
      </c>
      <c r="B20" s="71">
        <f>Auswertung!V$11</f>
        <v>1.52</v>
      </c>
      <c r="C20" s="81">
        <f t="shared" si="0"/>
        <v>1.5143369320644329</v>
      </c>
      <c r="D20" s="86">
        <f t="shared" si="1"/>
        <v>3.2070338442848728E-5</v>
      </c>
      <c r="E20" s="79"/>
    </row>
    <row r="21" spans="1:5">
      <c r="A21" s="71">
        <f>Auswertung!W$10</f>
        <v>9.7856143810225262</v>
      </c>
      <c r="B21" s="71">
        <f>Auswertung!W$11</f>
        <v>1.6</v>
      </c>
      <c r="C21" s="81">
        <f t="shared" si="0"/>
        <v>1.5974335522340448</v>
      </c>
      <c r="D21" s="86">
        <f t="shared" si="1"/>
        <v>6.5866541353768011E-6</v>
      </c>
      <c r="E21" s="79"/>
    </row>
    <row r="22" spans="1:5">
      <c r="A22" s="71">
        <f>Auswertung!X$10</f>
        <v>10.317122876204504</v>
      </c>
      <c r="B22" s="71">
        <f>Auswertung!X$11</f>
        <v>1.67</v>
      </c>
      <c r="C22" s="81">
        <f>$F$7+$F$6*A22+$F$5*A22^2+$F$4*A22^3+$F$3*A22^4+$F$2*A22^5</f>
        <v>1.673618725905424</v>
      </c>
      <c r="D22" s="86">
        <f t="shared" si="1"/>
        <v>1.3095177178587573E-5</v>
      </c>
      <c r="E22" s="79"/>
    </row>
    <row r="25" spans="1:5" ht="13.5" thickBot="1"/>
    <row r="26" spans="1:5">
      <c r="A26" s="101" t="s">
        <v>33</v>
      </c>
      <c r="B26" s="102" t="s">
        <v>1</v>
      </c>
      <c r="C26" s="96" t="s">
        <v>47</v>
      </c>
    </row>
    <row r="27" spans="1:5">
      <c r="A27" s="103">
        <v>1</v>
      </c>
      <c r="B27" s="100">
        <f>$F$7+$F$6*A27+$F$5*A27^2+$F$4*A27^3+$F$3*A27^4+$F$2*A27^5</f>
        <v>9.9195427001155134E-2</v>
      </c>
      <c r="C27" s="97">
        <f>Auswertung!G7</f>
        <v>0.1</v>
      </c>
    </row>
    <row r="28" spans="1:5">
      <c r="A28" s="103">
        <v>5</v>
      </c>
      <c r="B28" s="100">
        <f t="shared" ref="B28:B29" si="2">$F$7+$F$6*A28+$F$5*A28^2+$F$4*A28^3+$F$3*A28^4+$F$2*A28^5</f>
        <v>0.76947718299697587</v>
      </c>
      <c r="C28" s="97">
        <f>Auswertung!S7</f>
        <v>0.72</v>
      </c>
    </row>
    <row r="29" spans="1:5">
      <c r="A29" s="103">
        <v>8</v>
      </c>
      <c r="B29" s="100">
        <f t="shared" si="2"/>
        <v>1.3027435961215117</v>
      </c>
      <c r="C29" s="97">
        <f>Auswertung!AB7</f>
        <v>1.29</v>
      </c>
    </row>
    <row r="30" spans="1:5">
      <c r="A30" s="94" t="s">
        <v>45</v>
      </c>
      <c r="B30" s="100">
        <f>(B29-B27)/7/LOG10(2)</f>
        <v>0.5711572109358799</v>
      </c>
      <c r="C30" s="98">
        <f>(C29-C27)/7/LOG10(2)</f>
        <v>0.56472777613085157</v>
      </c>
    </row>
    <row r="31" spans="1:5" ht="13.5" thickBot="1">
      <c r="A31" s="95" t="s">
        <v>46</v>
      </c>
      <c r="B31" s="104">
        <f>(B28-B27)/4/LOG10(2)</f>
        <v>0.55665694918323816</v>
      </c>
      <c r="C31" s="99">
        <f>(C28-C27)/4/LOG10(2)</f>
        <v>0.51489885470754115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E11" sqref="E11"/>
    </sheetView>
  </sheetViews>
  <sheetFormatPr baseColWidth="10" defaultRowHeight="12.75"/>
  <cols>
    <col min="2" max="2" width="5.42578125" bestFit="1" customWidth="1"/>
    <col min="3" max="3" width="8.7109375" bestFit="1" customWidth="1"/>
    <col min="4" max="4" width="7.42578125" customWidth="1"/>
  </cols>
  <sheetData>
    <row r="1" spans="1:4" s="74" customFormat="1" ht="26.25">
      <c r="A1" s="82" t="s">
        <v>30</v>
      </c>
      <c r="B1" s="75" t="s">
        <v>0</v>
      </c>
      <c r="C1" s="75" t="s">
        <v>37</v>
      </c>
      <c r="D1" s="75" t="s">
        <v>29</v>
      </c>
    </row>
    <row r="2" spans="1:4">
      <c r="A2" s="88">
        <f>Ausgleichsrechnung!F2</f>
        <v>-1.8905146048334545E-5</v>
      </c>
      <c r="B2" s="90">
        <v>7.9267732896564764</v>
      </c>
      <c r="C2" s="78">
        <f>Auswertung!AB7</f>
        <v>1.29</v>
      </c>
      <c r="D2" s="89">
        <f>$A$7+$A$6*B2+$A$5*B2^2+$A$4*B2^3+$A$3*B2^4+$A$2*B2^5</f>
        <v>1.2900000921323023</v>
      </c>
    </row>
    <row r="3" spans="1:4">
      <c r="A3" s="88">
        <f>Ausgleichsrechnung!F3</f>
        <v>5.5959330872698402E-4</v>
      </c>
    </row>
    <row r="4" spans="1:4">
      <c r="A4" s="88">
        <f>Ausgleichsrechnung!F4</f>
        <v>-6.6746775574605781E-3</v>
      </c>
    </row>
    <row r="5" spans="1:4">
      <c r="A5" s="88">
        <f>Ausgleichsrechnung!F5</f>
        <v>3.9455337096832382E-2</v>
      </c>
    </row>
    <row r="6" spans="1:4">
      <c r="A6" s="88">
        <f>Ausgleichsrechnung!F6</f>
        <v>6.5221783601578612E-2</v>
      </c>
    </row>
    <row r="7" spans="1:4">
      <c r="A7" s="88">
        <f>Ausgleichsrechnung!F7</f>
        <v>6.52295697526079E-4</v>
      </c>
    </row>
    <row r="8" spans="1:4" ht="13.5" thickBot="1">
      <c r="A8" s="115"/>
    </row>
    <row r="9" spans="1:4" ht="13.5" thickBot="1">
      <c r="A9" s="83" t="s">
        <v>34</v>
      </c>
      <c r="B9" s="84">
        <f>8-B2</f>
        <v>7.3226710343523571E-2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Messungen</vt:lpstr>
      <vt:lpstr>Auswertung</vt:lpstr>
      <vt:lpstr>Ausgleichsrechnung</vt:lpstr>
      <vt:lpstr>N+-</vt:lpstr>
      <vt:lpstr>Messungen!Druckbereich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Otto Beyer</dc:creator>
  <dc:description>otto.beyer@gmx.de</dc:description>
  <cp:lastModifiedBy>Otto Beyer</cp:lastModifiedBy>
  <cp:lastPrinted>2008-03-27T19:37:21Z</cp:lastPrinted>
  <dcterms:created xsi:type="dcterms:W3CDTF">2004-03-15T15:59:27Z</dcterms:created>
  <dcterms:modified xsi:type="dcterms:W3CDTF">2011-01-11T16:14:52Z</dcterms:modified>
</cp:coreProperties>
</file>