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120" yWindow="120" windowWidth="12120" windowHeight="8835" activeTab="1"/>
  </bookViews>
  <sheets>
    <sheet name="Messungen" sheetId="5" r:id="rId1"/>
    <sheet name="Auswertung" sheetId="2" r:id="rId2"/>
    <sheet name="Ausgleichsrechnung" sheetId="6" r:id="rId3"/>
    <sheet name="N+-" sheetId="7" r:id="rId4"/>
  </sheets>
  <definedNames>
    <definedName name="_xlnm.Print_Area" localSheetId="0">Messungen!$A$1:$G$42</definedName>
    <definedName name="solver_adj" localSheetId="2" hidden="1">Ausgleichsrechnung!$F$2:$F$5</definedName>
    <definedName name="solver_adj" localSheetId="3" hidden="1">'N+-'!$B$2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2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Ausgleichsrechnung!$C$2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Ausgleichsrechnung!$E$2</definedName>
    <definedName name="solver_opt" localSheetId="3" hidden="1">'N+-'!$D$2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3</definedName>
    <definedName name="solver_val" localSheetId="2" hidden="1">0</definedName>
    <definedName name="solver_val" localSheetId="3" hidden="1">1.29</definedName>
  </definedNames>
  <calcPr calcId="145621"/>
</workbook>
</file>

<file path=xl/calcChain.xml><?xml version="1.0" encoding="utf-8"?>
<calcChain xmlns="http://schemas.openxmlformats.org/spreadsheetml/2006/main">
  <c r="E5" i="6" l="1"/>
  <c r="G8" i="2"/>
  <c r="C37" i="6" s="1"/>
  <c r="E1" i="7" l="1"/>
  <c r="AJ4" i="2"/>
  <c r="E8" i="2"/>
  <c r="F8" i="2"/>
  <c r="H8" i="2"/>
  <c r="I8" i="2"/>
  <c r="J8" i="2"/>
  <c r="K8" i="2"/>
  <c r="L8" i="2"/>
  <c r="M8" i="2"/>
  <c r="N8" i="2"/>
  <c r="O8" i="2"/>
  <c r="P8" i="2"/>
  <c r="Q8" i="2"/>
  <c r="R8" i="2"/>
  <c r="S8" i="2"/>
  <c r="C38" i="6" s="1"/>
  <c r="C41" i="6" s="1"/>
  <c r="T8" i="2"/>
  <c r="U8" i="2"/>
  <c r="V8" i="2"/>
  <c r="W8" i="2"/>
  <c r="X8" i="2"/>
  <c r="Y8" i="2"/>
  <c r="Z8" i="2"/>
  <c r="AA8" i="2"/>
  <c r="AB8" i="2"/>
  <c r="C39" i="6" s="1"/>
  <c r="C40" i="6" s="1"/>
  <c r="AC8" i="2"/>
  <c r="AD8" i="2"/>
  <c r="AE8" i="2"/>
  <c r="AF8" i="2"/>
  <c r="AG8" i="2"/>
  <c r="AH8" i="2"/>
  <c r="D8" i="2"/>
  <c r="V10" i="2"/>
  <c r="V11" i="2" s="1"/>
  <c r="A20" i="6" s="1"/>
  <c r="AE10" i="2"/>
  <c r="AE11" i="2" s="1"/>
  <c r="A29" i="6" s="1"/>
  <c r="AH10" i="2"/>
  <c r="AH11" i="2"/>
  <c r="A32" i="6" s="1"/>
  <c r="F29" i="5"/>
  <c r="M12" i="2" s="1"/>
  <c r="F30" i="5"/>
  <c r="L12" i="2" s="1"/>
  <c r="F31" i="5"/>
  <c r="K12" i="2" s="1"/>
  <c r="F32" i="5"/>
  <c r="J12" i="2" s="1"/>
  <c r="F33" i="5"/>
  <c r="I12" i="2" s="1"/>
  <c r="F34" i="5"/>
  <c r="H12" i="2" s="1"/>
  <c r="F35" i="5"/>
  <c r="G12" i="2" s="1"/>
  <c r="F36" i="5"/>
  <c r="F12" i="2" s="1"/>
  <c r="F37" i="5"/>
  <c r="E12" i="2" s="1"/>
  <c r="F38" i="5"/>
  <c r="D12" i="2" s="1"/>
  <c r="B2" i="6" s="1"/>
  <c r="C12" i="5"/>
  <c r="AD10" i="2" s="1"/>
  <c r="AD11" i="2" s="1"/>
  <c r="A28" i="6" s="1"/>
  <c r="C21" i="5"/>
  <c r="C22" i="5" s="1"/>
  <c r="C9" i="5"/>
  <c r="C10" i="5" s="1"/>
  <c r="AF10" i="2" s="1"/>
  <c r="AF11" i="2" s="1"/>
  <c r="A30" i="6" s="1"/>
  <c r="F28" i="5"/>
  <c r="N12" i="2" s="1"/>
  <c r="F27" i="5"/>
  <c r="O12" i="2" s="1"/>
  <c r="F26" i="5"/>
  <c r="P12" i="2" s="1"/>
  <c r="F25" i="5"/>
  <c r="Q12" i="2" s="1"/>
  <c r="F24" i="5"/>
  <c r="R12" i="2" s="1"/>
  <c r="F23" i="5"/>
  <c r="S12" i="2" s="1"/>
  <c r="F22" i="5"/>
  <c r="T12" i="2" s="1"/>
  <c r="F21" i="5"/>
  <c r="U12" i="2" s="1"/>
  <c r="F20" i="5"/>
  <c r="V12" i="2" s="1"/>
  <c r="F19" i="5"/>
  <c r="W12" i="2" s="1"/>
  <c r="F18" i="5"/>
  <c r="X12" i="2" s="1"/>
  <c r="F17" i="5"/>
  <c r="Y12" i="2" s="1"/>
  <c r="F16" i="5"/>
  <c r="Z12" i="2" s="1"/>
  <c r="F15" i="5"/>
  <c r="AA12" i="2" s="1"/>
  <c r="F14" i="5"/>
  <c r="AB12" i="2" s="1"/>
  <c r="F13" i="5"/>
  <c r="AC12" i="2" s="1"/>
  <c r="B27" i="6" s="1"/>
  <c r="F12" i="5"/>
  <c r="AD12" i="2" s="1"/>
  <c r="B28" i="6" s="1"/>
  <c r="F11" i="5"/>
  <c r="AE12" i="2" s="1"/>
  <c r="B29" i="6" s="1"/>
  <c r="F10" i="5"/>
  <c r="AF12" i="2" s="1"/>
  <c r="B30" i="6" s="1"/>
  <c r="F9" i="5"/>
  <c r="AG12" i="2" s="1"/>
  <c r="B31" i="6" s="1"/>
  <c r="F8" i="5"/>
  <c r="AH12" i="2" s="1"/>
  <c r="B32" i="6" s="1"/>
  <c r="B9" i="7"/>
  <c r="AN7" i="2" s="1"/>
  <c r="C2" i="7"/>
  <c r="J3" i="2"/>
  <c r="P3" i="2" s="1"/>
  <c r="J1" i="2"/>
  <c r="R1" i="2"/>
  <c r="AH1" i="2"/>
  <c r="AD1" i="2"/>
  <c r="Z1" i="2"/>
  <c r="V1" i="2"/>
  <c r="D1" i="2"/>
  <c r="AF16" i="2"/>
  <c r="AF15" i="2"/>
  <c r="AM7" i="2" l="1"/>
  <c r="B25" i="6"/>
  <c r="B21" i="6"/>
  <c r="B17" i="6"/>
  <c r="B26" i="6"/>
  <c r="B24" i="6"/>
  <c r="B22" i="6"/>
  <c r="B20" i="6"/>
  <c r="B18" i="6"/>
  <c r="B16" i="6"/>
  <c r="B14" i="6"/>
  <c r="B3" i="6"/>
  <c r="B5" i="6"/>
  <c r="B7" i="6"/>
  <c r="B9" i="6"/>
  <c r="B11" i="6"/>
  <c r="B23" i="6"/>
  <c r="B19" i="6"/>
  <c r="B15" i="6"/>
  <c r="B13" i="6"/>
  <c r="B12" i="6"/>
  <c r="T10" i="2"/>
  <c r="T11" i="2" s="1"/>
  <c r="A18" i="6" s="1"/>
  <c r="C23" i="5"/>
  <c r="B4" i="6"/>
  <c r="B6" i="6"/>
  <c r="B8" i="6"/>
  <c r="B10" i="6"/>
  <c r="AG10" i="2"/>
  <c r="AG11" i="2" s="1"/>
  <c r="A31" i="6" s="1"/>
  <c r="U10" i="2"/>
  <c r="U11" i="2" s="1"/>
  <c r="A19" i="6" s="1"/>
  <c r="C13" i="5"/>
  <c r="AC10" i="2" l="1"/>
  <c r="AC11" i="2" s="1"/>
  <c r="A27" i="6" s="1"/>
  <c r="C14" i="5"/>
  <c r="C24" i="5"/>
  <c r="S10" i="2"/>
  <c r="S11" i="2" s="1"/>
  <c r="T13" i="2" s="1"/>
  <c r="U13" i="2"/>
  <c r="V13" i="2"/>
  <c r="R10" i="2" l="1"/>
  <c r="R11" i="2" s="1"/>
  <c r="S13" i="2" s="1"/>
  <c r="C25" i="5"/>
  <c r="A17" i="6"/>
  <c r="C15" i="5"/>
  <c r="AB10" i="2"/>
  <c r="AB11" i="2" s="1"/>
  <c r="A26" i="6" l="1"/>
  <c r="AA10" i="2"/>
  <c r="AA11" i="2" s="1"/>
  <c r="C16" i="5"/>
  <c r="A16" i="6"/>
  <c r="C26" i="5"/>
  <c r="Q10" i="2"/>
  <c r="Q11" i="2" s="1"/>
  <c r="P10" i="2" l="1"/>
  <c r="P11" i="2" s="1"/>
  <c r="C27" i="5"/>
  <c r="A25" i="6"/>
  <c r="A15" i="6"/>
  <c r="Q13" i="2"/>
  <c r="C17" i="5"/>
  <c r="Z10" i="2"/>
  <c r="Z11" i="2" s="1"/>
  <c r="R13" i="2"/>
  <c r="AB13" i="2"/>
  <c r="Y10" i="2" l="1"/>
  <c r="Y11" i="2" s="1"/>
  <c r="C18" i="5"/>
  <c r="A14" i="6"/>
  <c r="A24" i="6"/>
  <c r="C28" i="5"/>
  <c r="O10" i="2"/>
  <c r="O11" i="2" s="1"/>
  <c r="AA13" i="2"/>
  <c r="N10" i="2" l="1"/>
  <c r="N11" i="2" s="1"/>
  <c r="C29" i="5"/>
  <c r="A23" i="6"/>
  <c r="A13" i="6"/>
  <c r="O13" i="2"/>
  <c r="C19" i="5"/>
  <c r="W10" i="2" s="1"/>
  <c r="W11" i="2" s="1"/>
  <c r="X10" i="2"/>
  <c r="X11" i="2" s="1"/>
  <c r="Z13" i="2"/>
  <c r="P13" i="2"/>
  <c r="A21" i="6" l="1"/>
  <c r="W13" i="2"/>
  <c r="A12" i="6"/>
  <c r="A22" i="6"/>
  <c r="X13" i="2"/>
  <c r="C30" i="5"/>
  <c r="M10" i="2"/>
  <c r="M11" i="2" s="1"/>
  <c r="Y13" i="2"/>
  <c r="L10" i="2" l="1"/>
  <c r="L11" i="2" s="1"/>
  <c r="C31" i="5"/>
  <c r="A11" i="6"/>
  <c r="N13" i="2"/>
  <c r="A10" i="6" l="1"/>
  <c r="C32" i="5"/>
  <c r="K10" i="2"/>
  <c r="K11" i="2" s="1"/>
  <c r="M13" i="2"/>
  <c r="J10" i="2" l="1"/>
  <c r="J11" i="2" s="1"/>
  <c r="K13" i="2" s="1"/>
  <c r="C33" i="5"/>
  <c r="A9" i="6"/>
  <c r="L13" i="2"/>
  <c r="A8" i="6" l="1"/>
  <c r="I10" i="2"/>
  <c r="I11" i="2" s="1"/>
  <c r="C34" i="5"/>
  <c r="A7" i="6" l="1"/>
  <c r="H10" i="2"/>
  <c r="H11" i="2" s="1"/>
  <c r="C35" i="5"/>
  <c r="J13" i="2"/>
  <c r="A6" i="6" l="1"/>
  <c r="G10" i="2"/>
  <c r="G11" i="2" s="1"/>
  <c r="C36" i="5"/>
  <c r="I13" i="2"/>
  <c r="A5" i="6" l="1"/>
  <c r="F10" i="2"/>
  <c r="F11" i="2" s="1"/>
  <c r="C37" i="5"/>
  <c r="H13" i="2"/>
  <c r="A4" i="6" l="1"/>
  <c r="E10" i="2"/>
  <c r="E11" i="2" s="1"/>
  <c r="C38" i="5"/>
  <c r="D10" i="2" s="1"/>
  <c r="D11" i="2" s="1"/>
  <c r="A2" i="6" s="1"/>
  <c r="G13" i="2"/>
  <c r="A3" i="6" l="1"/>
  <c r="E13" i="2"/>
  <c r="F13" i="2"/>
  <c r="F2" i="6" a="1"/>
  <c r="F7" i="6" s="1"/>
  <c r="A7" i="7" l="1"/>
  <c r="F2" i="6"/>
  <c r="A2" i="7" s="1"/>
  <c r="F6" i="6"/>
  <c r="A6" i="7" s="1"/>
  <c r="F5" i="6"/>
  <c r="A5" i="7" s="1"/>
  <c r="F4" i="6"/>
  <c r="A4" i="7" s="1"/>
  <c r="F3" i="6"/>
  <c r="A3" i="7" s="1"/>
  <c r="C27" i="6" l="1"/>
  <c r="D27" i="6" s="1"/>
  <c r="C10" i="6"/>
  <c r="D10" i="6" s="1"/>
  <c r="C12" i="6"/>
  <c r="D12" i="6" s="1"/>
  <c r="B39" i="6"/>
  <c r="C20" i="6"/>
  <c r="D20" i="6" s="1"/>
  <c r="C7" i="6"/>
  <c r="D7" i="6" s="1"/>
  <c r="C3" i="6"/>
  <c r="D3" i="6" s="1"/>
  <c r="C19" i="6"/>
  <c r="D19" i="6" s="1"/>
  <c r="C6" i="6"/>
  <c r="D6" i="6" s="1"/>
  <c r="C24" i="6"/>
  <c r="D24" i="6" s="1"/>
  <c r="C16" i="6"/>
  <c r="D16" i="6" s="1"/>
  <c r="C2" i="6"/>
  <c r="D2" i="6" s="1"/>
  <c r="C22" i="6"/>
  <c r="D22" i="6" s="1"/>
  <c r="C8" i="6"/>
  <c r="D8" i="6" s="1"/>
  <c r="C5" i="6"/>
  <c r="D5" i="6" s="1"/>
  <c r="C17" i="6"/>
  <c r="D17" i="6" s="1"/>
  <c r="C18" i="6"/>
  <c r="D18" i="6" s="1"/>
  <c r="C4" i="6"/>
  <c r="D4" i="6" s="1"/>
  <c r="C31" i="6"/>
  <c r="D31" i="6" s="1"/>
  <c r="C32" i="6"/>
  <c r="D32" i="6" s="1"/>
  <c r="C30" i="6"/>
  <c r="D30" i="6" s="1"/>
  <c r="C28" i="6"/>
  <c r="D28" i="6" s="1"/>
  <c r="C26" i="6"/>
  <c r="D26" i="6" s="1"/>
  <c r="C25" i="6"/>
  <c r="D25" i="6" s="1"/>
  <c r="C23" i="6"/>
  <c r="D23" i="6" s="1"/>
  <c r="C29" i="6"/>
  <c r="D29" i="6" s="1"/>
  <c r="D2" i="7"/>
  <c r="C21" i="6"/>
  <c r="D21" i="6" s="1"/>
  <c r="C13" i="6"/>
  <c r="D13" i="6" s="1"/>
  <c r="C15" i="6"/>
  <c r="D15" i="6" s="1"/>
  <c r="B38" i="6"/>
  <c r="C14" i="6"/>
  <c r="D14" i="6" s="1"/>
  <c r="B37" i="6"/>
  <c r="AN6" i="2" s="1"/>
  <c r="C9" i="6"/>
  <c r="D9" i="6" s="1"/>
  <c r="C11" i="6"/>
  <c r="D11" i="6" s="1"/>
  <c r="B41" i="6" l="1"/>
  <c r="E2" i="6"/>
  <c r="B40" i="6"/>
  <c r="AN11" i="2" s="1"/>
</calcChain>
</file>

<file path=xl/sharedStrings.xml><?xml version="1.0" encoding="utf-8"?>
<sst xmlns="http://schemas.openxmlformats.org/spreadsheetml/2006/main" count="72" uniqueCount="54">
  <si>
    <t>Zone</t>
  </si>
  <si>
    <t>lgD</t>
  </si>
  <si>
    <t>Film</t>
  </si>
  <si>
    <t>Verdünnung</t>
  </si>
  <si>
    <t>Datum</t>
  </si>
  <si>
    <t>Entwickler</t>
  </si>
  <si>
    <t>Zeit</t>
  </si>
  <si>
    <t>Kipp</t>
  </si>
  <si>
    <t>Temp.</t>
  </si>
  <si>
    <t>Blende</t>
  </si>
  <si>
    <t>Schleier</t>
  </si>
  <si>
    <t>Bemerkungen:</t>
  </si>
  <si>
    <t>Verdünn.</t>
  </si>
  <si>
    <t>Korrektur</t>
  </si>
  <si>
    <t>Bemerkungen</t>
  </si>
  <si>
    <t>FP4+</t>
  </si>
  <si>
    <t>XTOL</t>
  </si>
  <si>
    <t>Belichtung</t>
  </si>
  <si>
    <t>Entwicklung</t>
  </si>
  <si>
    <t>Auswertung</t>
  </si>
  <si>
    <t>Step</t>
  </si>
  <si>
    <t>Norm</t>
  </si>
  <si>
    <t>Zone neu</t>
  </si>
  <si>
    <t>off set =</t>
  </si>
  <si>
    <t xml:space="preserve">Gamma = </t>
  </si>
  <si>
    <t>Zone I =</t>
  </si>
  <si>
    <t>belichtet</t>
  </si>
  <si>
    <t>DIN</t>
  </si>
  <si>
    <t>effekt. Empfindlichkeit</t>
  </si>
  <si>
    <t>15/30/1x</t>
  </si>
  <si>
    <t>1+2</t>
  </si>
  <si>
    <t>20 °C</t>
  </si>
  <si>
    <t>Entw.</t>
  </si>
  <si>
    <t>Faktor=</t>
  </si>
  <si>
    <t>Wert</t>
  </si>
  <si>
    <r>
      <t>A</t>
    </r>
    <r>
      <rPr>
        <b/>
        <vertAlign val="subscript"/>
        <sz val="10"/>
        <rFont val="Arial"/>
        <family val="2"/>
      </rPr>
      <t>n</t>
    </r>
  </si>
  <si>
    <t>Summe Abw.</t>
  </si>
  <si>
    <t>Ab-weichung**2</t>
  </si>
  <si>
    <t>Zone I</t>
  </si>
  <si>
    <t>N +/-</t>
  </si>
  <si>
    <t>Dichte</t>
  </si>
  <si>
    <t>D-Wert</t>
  </si>
  <si>
    <t>Dichte-Vorgabe</t>
  </si>
  <si>
    <t>V2</t>
  </si>
  <si>
    <t>A5</t>
  </si>
  <si>
    <t>A4</t>
  </si>
  <si>
    <t>A3</t>
  </si>
  <si>
    <t>A2</t>
  </si>
  <si>
    <t>A1</t>
  </si>
  <si>
    <t>A0</t>
  </si>
  <si>
    <t>Gamma</t>
  </si>
  <si>
    <t>Beta</t>
  </si>
  <si>
    <t>Sollwerte</t>
  </si>
  <si>
    <t>Dichte gerechnet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</si>
</sst>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#,##0.0"/>
    <numFmt numFmtId="166" formatCode="#,##0.0000"/>
    <numFmt numFmtId="167" formatCode="0.000"/>
    <numFmt numFmtId="168" formatCode="#,##0.000000"/>
    <numFmt numFmtId="169" formatCode="0.00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10" fontId="3" fillId="0" borderId="1" xfId="0" applyNumberFormat="1" applyFont="1" applyBorder="1" applyAlignment="1">
      <alignment vertical="center" wrapText="1"/>
    </xf>
    <xf numFmtId="0" fontId="1" fillId="0" borderId="0" xfId="0" applyFont="1"/>
    <xf numFmtId="4" fontId="3" fillId="0" borderId="0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0" fontId="3" fillId="0" borderId="1" xfId="0" applyNumberFormat="1" applyFont="1" applyBorder="1"/>
    <xf numFmtId="49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/>
    </xf>
    <xf numFmtId="4" fontId="0" fillId="0" borderId="1" xfId="0" applyNumberForma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6" xfId="0" applyFont="1" applyBorder="1"/>
    <xf numFmtId="0" fontId="2" fillId="0" borderId="7" xfId="0" applyFont="1" applyBorder="1"/>
    <xf numFmtId="49" fontId="7" fillId="0" borderId="8" xfId="0" applyNumberFormat="1" applyFont="1" applyBorder="1"/>
    <xf numFmtId="4" fontId="2" fillId="0" borderId="9" xfId="0" applyNumberFormat="1" applyFont="1" applyBorder="1" applyAlignment="1">
      <alignment vertical="top"/>
    </xf>
    <xf numFmtId="4" fontId="2" fillId="0" borderId="9" xfId="0" applyNumberFormat="1" applyFont="1" applyBorder="1"/>
    <xf numFmtId="4" fontId="7" fillId="2" borderId="9" xfId="0" applyNumberFormat="1" applyFont="1" applyFill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9" fontId="7" fillId="0" borderId="12" xfId="0" applyNumberFormat="1" applyFont="1" applyBorder="1"/>
    <xf numFmtId="4" fontId="2" fillId="0" borderId="13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49" fontId="7" fillId="0" borderId="0" xfId="0" applyNumberFormat="1" applyFont="1" applyBorder="1"/>
    <xf numFmtId="0" fontId="7" fillId="0" borderId="14" xfId="0" applyFont="1" applyBorder="1"/>
    <xf numFmtId="4" fontId="2" fillId="0" borderId="14" xfId="0" applyNumberFormat="1" applyFont="1" applyBorder="1" applyAlignment="1">
      <alignment horizontal="center"/>
    </xf>
    <xf numFmtId="0" fontId="7" fillId="0" borderId="8" xfId="0" applyFont="1" applyBorder="1"/>
    <xf numFmtId="4" fontId="2" fillId="0" borderId="9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0" fontId="2" fillId="0" borderId="2" xfId="0" applyFont="1" applyBorder="1"/>
    <xf numFmtId="0" fontId="7" fillId="0" borderId="12" xfId="0" applyFont="1" applyBorder="1"/>
    <xf numFmtId="4" fontId="2" fillId="0" borderId="13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8" fillId="0" borderId="20" xfId="0" applyNumberFormat="1" applyFont="1" applyBorder="1" applyAlignment="1">
      <alignment horizontal="center"/>
    </xf>
    <xf numFmtId="4" fontId="0" fillId="0" borderId="20" xfId="0" applyNumberFormat="1" applyBorder="1"/>
    <xf numFmtId="166" fontId="1" fillId="0" borderId="1" xfId="0" applyNumberFormat="1" applyFont="1" applyBorder="1" applyAlignment="1">
      <alignment horizontal="center" wrapText="1"/>
    </xf>
    <xf numFmtId="49" fontId="1" fillId="3" borderId="18" xfId="0" applyNumberFormat="1" applyFont="1" applyFill="1" applyBorder="1" applyAlignment="1">
      <alignment horizontal="right"/>
    </xf>
    <xf numFmtId="4" fontId="0" fillId="3" borderId="17" xfId="0" applyNumberFormat="1" applyFill="1" applyBorder="1"/>
    <xf numFmtId="166" fontId="0" fillId="0" borderId="20" xfId="0" applyNumberFormat="1" applyBorder="1"/>
    <xf numFmtId="166" fontId="0" fillId="0" borderId="1" xfId="0" applyNumberFormat="1" applyBorder="1"/>
    <xf numFmtId="0" fontId="7" fillId="0" borderId="6" xfId="0" applyFont="1" applyBorder="1" applyAlignment="1">
      <alignment horizontal="right"/>
    </xf>
    <xf numFmtId="168" fontId="0" fillId="0" borderId="1" xfId="0" applyNumberFormat="1" applyBorder="1" applyAlignment="1">
      <alignment vertical="top"/>
    </xf>
    <xf numFmtId="167" fontId="1" fillId="4" borderId="1" xfId="0" applyNumberFormat="1" applyFont="1" applyFill="1" applyBorder="1"/>
    <xf numFmtId="4" fontId="0" fillId="3" borderId="1" xfId="0" applyNumberFormat="1" applyFill="1" applyBorder="1"/>
    <xf numFmtId="168" fontId="1" fillId="4" borderId="21" xfId="0" applyNumberFormat="1" applyFont="1" applyFill="1" applyBorder="1"/>
    <xf numFmtId="4" fontId="3" fillId="0" borderId="0" xfId="0" applyNumberFormat="1" applyFont="1"/>
    <xf numFmtId="0" fontId="2" fillId="0" borderId="22" xfId="0" applyFont="1" applyBorder="1"/>
    <xf numFmtId="0" fontId="2" fillId="0" borderId="5" xfId="0" applyFont="1" applyBorder="1"/>
    <xf numFmtId="4" fontId="2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4" fontId="10" fillId="2" borderId="13" xfId="0" applyNumberFormat="1" applyFont="1" applyFill="1" applyBorder="1"/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4" fontId="7" fillId="0" borderId="0" xfId="0" applyNumberFormat="1" applyFont="1" applyAlignment="1">
      <alignment horizontal="center"/>
    </xf>
    <xf numFmtId="169" fontId="0" fillId="0" borderId="1" xfId="0" applyNumberFormat="1" applyBorder="1"/>
    <xf numFmtId="0" fontId="1" fillId="5" borderId="1" xfId="0" applyFont="1" applyFill="1" applyBorder="1"/>
    <xf numFmtId="0" fontId="3" fillId="5" borderId="1" xfId="0" applyFont="1" applyFill="1" applyBorder="1"/>
    <xf numFmtId="4" fontId="0" fillId="5" borderId="1" xfId="0" applyNumberFormat="1" applyFill="1" applyBorder="1"/>
    <xf numFmtId="2" fontId="8" fillId="5" borderId="1" xfId="0" applyNumberFormat="1" applyFont="1" applyFill="1" applyBorder="1"/>
    <xf numFmtId="4" fontId="1" fillId="6" borderId="10" xfId="0" applyNumberFormat="1" applyFont="1" applyFill="1" applyBorder="1"/>
    <xf numFmtId="4" fontId="0" fillId="6" borderId="23" xfId="0" applyNumberFormat="1" applyFill="1" applyBorder="1"/>
    <xf numFmtId="2" fontId="8" fillId="6" borderId="1" xfId="0" applyNumberFormat="1" applyFont="1" applyFill="1" applyBorder="1"/>
    <xf numFmtId="0" fontId="2" fillId="5" borderId="18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right"/>
    </xf>
    <xf numFmtId="4" fontId="7" fillId="5" borderId="17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center"/>
    </xf>
    <xf numFmtId="4" fontId="7" fillId="5" borderId="17" xfId="0" applyNumberFormat="1" applyFont="1" applyFill="1" applyBorder="1" applyAlignment="1">
      <alignment horizontal="center"/>
    </xf>
    <xf numFmtId="0" fontId="7" fillId="5" borderId="16" xfId="0" applyNumberFormat="1" applyFont="1" applyFill="1" applyBorder="1" applyAlignment="1">
      <alignment horizontal="right"/>
    </xf>
    <xf numFmtId="2" fontId="7" fillId="5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4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0" fontId="2" fillId="0" borderId="24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5" fontId="2" fillId="2" borderId="24" xfId="0" applyNumberFormat="1" applyFont="1" applyFill="1" applyBorder="1" applyAlignment="1">
      <alignment horizontal="center" vertical="center"/>
    </xf>
    <xf numFmtId="165" fontId="2" fillId="2" borderId="3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23000710856474E-2"/>
          <c:y val="4.9995371929071525E-2"/>
          <c:w val="0.89080443170928425"/>
          <c:h val="0.8070681468550114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Auswertung!$D$7:$AH$7</c:f>
              <c:numCache>
                <c:formatCode>#,##0.00</c:formatCode>
                <c:ptCount val="31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1</c:v>
                </c:pt>
                <c:pt idx="4">
                  <c:v>1.3333333333333333</c:v>
                </c:pt>
                <c:pt idx="5">
                  <c:v>1.6666666666666665</c:v>
                </c:pt>
                <c:pt idx="6">
                  <c:v>2</c:v>
                </c:pt>
                <c:pt idx="7">
                  <c:v>2.333333333333333</c:v>
                </c:pt>
                <c:pt idx="8">
                  <c:v>2.6666666666666665</c:v>
                </c:pt>
                <c:pt idx="9">
                  <c:v>3</c:v>
                </c:pt>
                <c:pt idx="10">
                  <c:v>3.3333333333333335</c:v>
                </c:pt>
                <c:pt idx="11">
                  <c:v>3.666666666666667</c:v>
                </c:pt>
                <c:pt idx="12">
                  <c:v>4</c:v>
                </c:pt>
                <c:pt idx="13">
                  <c:v>4.333333333333333</c:v>
                </c:pt>
                <c:pt idx="14">
                  <c:v>4.6666666666666661</c:v>
                </c:pt>
                <c:pt idx="15">
                  <c:v>5</c:v>
                </c:pt>
                <c:pt idx="16">
                  <c:v>5.3333333333333321</c:v>
                </c:pt>
                <c:pt idx="17">
                  <c:v>5.6666666666666652</c:v>
                </c:pt>
                <c:pt idx="18">
                  <c:v>6</c:v>
                </c:pt>
                <c:pt idx="19">
                  <c:v>6.3333333333333313</c:v>
                </c:pt>
                <c:pt idx="20">
                  <c:v>6.6666666666666643</c:v>
                </c:pt>
                <c:pt idx="21">
                  <c:v>7</c:v>
                </c:pt>
                <c:pt idx="22">
                  <c:v>7.3333333333333304</c:v>
                </c:pt>
                <c:pt idx="23">
                  <c:v>7.6666666666666634</c:v>
                </c:pt>
                <c:pt idx="24">
                  <c:v>8</c:v>
                </c:pt>
                <c:pt idx="25">
                  <c:v>8.3333333333333304</c:v>
                </c:pt>
                <c:pt idx="26">
                  <c:v>8.6666666666666643</c:v>
                </c:pt>
                <c:pt idx="27">
                  <c:v>9</c:v>
                </c:pt>
                <c:pt idx="28">
                  <c:v>9.3333333333333321</c:v>
                </c:pt>
                <c:pt idx="29">
                  <c:v>9.6666666666666661</c:v>
                </c:pt>
                <c:pt idx="30">
                  <c:v>10</c:v>
                </c:pt>
              </c:numCache>
            </c:numRef>
          </c:xVal>
          <c:yVal>
            <c:numRef>
              <c:f>Auswertung!$D$8:$AH$8</c:f>
              <c:numCache>
                <c:formatCode>#,##0.00</c:formatCode>
                <c:ptCount val="31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0.33</c:v>
                </c:pt>
                <c:pt idx="9">
                  <c:v>0.38</c:v>
                </c:pt>
                <c:pt idx="10">
                  <c:v>0.43</c:v>
                </c:pt>
                <c:pt idx="11">
                  <c:v>0.49</c:v>
                </c:pt>
                <c:pt idx="12">
                  <c:v>0.54</c:v>
                </c:pt>
                <c:pt idx="13">
                  <c:v>0.6</c:v>
                </c:pt>
                <c:pt idx="14">
                  <c:v>0.66</c:v>
                </c:pt>
                <c:pt idx="15">
                  <c:v>0.72</c:v>
                </c:pt>
                <c:pt idx="16">
                  <c:v>0.78</c:v>
                </c:pt>
                <c:pt idx="17">
                  <c:v>0.84</c:v>
                </c:pt>
                <c:pt idx="18">
                  <c:v>0.9</c:v>
                </c:pt>
                <c:pt idx="19">
                  <c:v>0.97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1.1599999999999999</c:v>
                </c:pt>
                <c:pt idx="23">
                  <c:v>1.22</c:v>
                </c:pt>
                <c:pt idx="24">
                  <c:v>1.29</c:v>
                </c:pt>
                <c:pt idx="25">
                  <c:v>1.35</c:v>
                </c:pt>
                <c:pt idx="26">
                  <c:v>1.42</c:v>
                </c:pt>
                <c:pt idx="27">
                  <c:v>1.48</c:v>
                </c:pt>
                <c:pt idx="28">
                  <c:v>1.55</c:v>
                </c:pt>
                <c:pt idx="29">
                  <c:v>1.61</c:v>
                </c:pt>
                <c:pt idx="30">
                  <c:v>1.67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trendlineType val="poly"/>
            <c:order val="5"/>
            <c:dispRSqr val="0"/>
            <c:dispEq val="0"/>
          </c:trendline>
          <c:xVal>
            <c:numRef>
              <c:f>Auswertung!$D$11:$AH$11</c:f>
              <c:numCache>
                <c:formatCode>#,##0.00</c:formatCode>
                <c:ptCount val="31"/>
                <c:pt idx="0">
                  <c:v>0.43999999999999928</c:v>
                </c:pt>
                <c:pt idx="1">
                  <c:v>0.76999999999999935</c:v>
                </c:pt>
                <c:pt idx="2">
                  <c:v>1.0999999999999992</c:v>
                </c:pt>
                <c:pt idx="3">
                  <c:v>1.4299999999999993</c:v>
                </c:pt>
                <c:pt idx="4">
                  <c:v>1.7599999999999993</c:v>
                </c:pt>
                <c:pt idx="5">
                  <c:v>2.0899999999999994</c:v>
                </c:pt>
                <c:pt idx="6">
                  <c:v>2.4199999999999995</c:v>
                </c:pt>
                <c:pt idx="7">
                  <c:v>2.7499999999999996</c:v>
                </c:pt>
                <c:pt idx="8">
                  <c:v>3.0799999999999996</c:v>
                </c:pt>
                <c:pt idx="9">
                  <c:v>3.4099999999999997</c:v>
                </c:pt>
                <c:pt idx="10">
                  <c:v>3.7399999999999998</c:v>
                </c:pt>
                <c:pt idx="11">
                  <c:v>4.07</c:v>
                </c:pt>
                <c:pt idx="12">
                  <c:v>4.4000000000000004</c:v>
                </c:pt>
                <c:pt idx="13">
                  <c:v>4.7300000000000004</c:v>
                </c:pt>
                <c:pt idx="14">
                  <c:v>5.0600000000000005</c:v>
                </c:pt>
                <c:pt idx="15">
                  <c:v>5.3900000000000006</c:v>
                </c:pt>
                <c:pt idx="16">
                  <c:v>5.7200000000000006</c:v>
                </c:pt>
                <c:pt idx="17">
                  <c:v>6.0500000000000007</c:v>
                </c:pt>
                <c:pt idx="18">
                  <c:v>6.3800000000000008</c:v>
                </c:pt>
                <c:pt idx="19">
                  <c:v>6.76</c:v>
                </c:pt>
                <c:pt idx="20">
                  <c:v>7.09</c:v>
                </c:pt>
                <c:pt idx="21">
                  <c:v>7.42</c:v>
                </c:pt>
                <c:pt idx="22">
                  <c:v>7.75</c:v>
                </c:pt>
                <c:pt idx="23">
                  <c:v>8.08</c:v>
                </c:pt>
                <c:pt idx="24">
                  <c:v>8.41</c:v>
                </c:pt>
                <c:pt idx="25">
                  <c:v>8.74</c:v>
                </c:pt>
                <c:pt idx="26">
                  <c:v>9.07</c:v>
                </c:pt>
                <c:pt idx="27">
                  <c:v>9.4</c:v>
                </c:pt>
                <c:pt idx="28">
                  <c:v>9.74</c:v>
                </c:pt>
                <c:pt idx="29">
                  <c:v>10.07</c:v>
                </c:pt>
                <c:pt idx="30">
                  <c:v>10.4</c:v>
                </c:pt>
              </c:numCache>
            </c:numRef>
          </c:xVal>
          <c:yVal>
            <c:numRef>
              <c:f>Auswertung!$D$12:$AH$12</c:f>
              <c:numCache>
                <c:formatCode>#,##0.00</c:formatCode>
                <c:ptCount val="31"/>
                <c:pt idx="0">
                  <c:v>0.03</c:v>
                </c:pt>
                <c:pt idx="1">
                  <c:v>6.7500000000000004E-2</c:v>
                </c:pt>
                <c:pt idx="2">
                  <c:v>0.11749999999999999</c:v>
                </c:pt>
                <c:pt idx="3">
                  <c:v>0.15500000000000003</c:v>
                </c:pt>
                <c:pt idx="4">
                  <c:v>0.20500000000000002</c:v>
                </c:pt>
                <c:pt idx="5">
                  <c:v>0.26750000000000002</c:v>
                </c:pt>
                <c:pt idx="6">
                  <c:v>0.32999999999999996</c:v>
                </c:pt>
                <c:pt idx="7">
                  <c:v>0.38</c:v>
                </c:pt>
                <c:pt idx="8">
                  <c:v>0.4425</c:v>
                </c:pt>
                <c:pt idx="9">
                  <c:v>0.505</c:v>
                </c:pt>
                <c:pt idx="10">
                  <c:v>0.5675</c:v>
                </c:pt>
                <c:pt idx="11">
                  <c:v>0.64249999999999996</c:v>
                </c:pt>
                <c:pt idx="12">
                  <c:v>0.70500000000000007</c:v>
                </c:pt>
                <c:pt idx="13">
                  <c:v>0.77999999999999992</c:v>
                </c:pt>
                <c:pt idx="14">
                  <c:v>0.85500000000000009</c:v>
                </c:pt>
                <c:pt idx="15">
                  <c:v>0.93</c:v>
                </c:pt>
                <c:pt idx="16">
                  <c:v>1.0049999999999999</c:v>
                </c:pt>
                <c:pt idx="17">
                  <c:v>1.08</c:v>
                </c:pt>
                <c:pt idx="18">
                  <c:v>1.1549999999999998</c:v>
                </c:pt>
                <c:pt idx="19">
                  <c:v>1.2425000000000002</c:v>
                </c:pt>
                <c:pt idx="20">
                  <c:v>1.3174999999999999</c:v>
                </c:pt>
                <c:pt idx="21">
                  <c:v>1.4049999999999998</c:v>
                </c:pt>
                <c:pt idx="22">
                  <c:v>1.48</c:v>
                </c:pt>
                <c:pt idx="23">
                  <c:v>1.5550000000000002</c:v>
                </c:pt>
                <c:pt idx="24">
                  <c:v>1.6425000000000001</c:v>
                </c:pt>
                <c:pt idx="25">
                  <c:v>1.7174999999999998</c:v>
                </c:pt>
                <c:pt idx="26">
                  <c:v>1.8050000000000002</c:v>
                </c:pt>
                <c:pt idx="27">
                  <c:v>1.88</c:v>
                </c:pt>
                <c:pt idx="28">
                  <c:v>1.9674999999999998</c:v>
                </c:pt>
                <c:pt idx="29">
                  <c:v>2.0425</c:v>
                </c:pt>
                <c:pt idx="30">
                  <c:v>2.1174999999999997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</c:v>
              </c:pt>
            </c:numLit>
          </c:xVal>
          <c:yVal>
            <c:numRef>
              <c:f>(Auswertung!$AB$8,Auswertung!$AB$8)</c:f>
              <c:numCache>
                <c:formatCode>#,##0.00</c:formatCode>
                <c:ptCount val="2"/>
                <c:pt idx="0">
                  <c:v>1.29</c:v>
                </c:pt>
                <c:pt idx="1">
                  <c:v>1.29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7968"/>
        <c:axId val="43608320"/>
      </c:scatterChart>
      <c:valAx>
        <c:axId val="43347968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Zone</a:t>
                </a:r>
              </a:p>
            </c:rich>
          </c:tx>
          <c:layout>
            <c:manualLayout>
              <c:xMode val="edge"/>
              <c:yMode val="edge"/>
              <c:x val="0.50676089573947392"/>
              <c:y val="0.921343282692889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08320"/>
        <c:crosses val="autoZero"/>
        <c:crossBetween val="midCat"/>
        <c:majorUnit val="0.5"/>
      </c:valAx>
      <c:valAx>
        <c:axId val="43608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Dichte</a:t>
                </a:r>
              </a:p>
            </c:rich>
          </c:tx>
          <c:layout>
            <c:manualLayout>
              <c:xMode val="edge"/>
              <c:yMode val="edge"/>
              <c:x val="1.4125739254061995E-2"/>
              <c:y val="0.40531962242497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347968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59061833688719E-2"/>
          <c:y val="3.6603917333299846E-2"/>
          <c:w val="0.87846481876332649"/>
          <c:h val="0.8566885641798777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Ausgleichsrechnung!$A$2:$A$32</c:f>
              <c:numCache>
                <c:formatCode>#,##0.00</c:formatCode>
                <c:ptCount val="31"/>
                <c:pt idx="0">
                  <c:v>0.43999999999999928</c:v>
                </c:pt>
                <c:pt idx="1">
                  <c:v>0.76999999999999935</c:v>
                </c:pt>
                <c:pt idx="2">
                  <c:v>1.0999999999999992</c:v>
                </c:pt>
                <c:pt idx="3">
                  <c:v>1.4299999999999993</c:v>
                </c:pt>
                <c:pt idx="4">
                  <c:v>1.7599999999999993</c:v>
                </c:pt>
                <c:pt idx="5">
                  <c:v>2.0899999999999994</c:v>
                </c:pt>
                <c:pt idx="6">
                  <c:v>2.4199999999999995</c:v>
                </c:pt>
                <c:pt idx="7">
                  <c:v>2.7499999999999996</c:v>
                </c:pt>
                <c:pt idx="8">
                  <c:v>3.0799999999999996</c:v>
                </c:pt>
                <c:pt idx="9">
                  <c:v>3.4099999999999997</c:v>
                </c:pt>
                <c:pt idx="10">
                  <c:v>3.7399999999999998</c:v>
                </c:pt>
                <c:pt idx="11">
                  <c:v>4.07</c:v>
                </c:pt>
                <c:pt idx="12">
                  <c:v>4.4000000000000004</c:v>
                </c:pt>
                <c:pt idx="13">
                  <c:v>4.7300000000000004</c:v>
                </c:pt>
                <c:pt idx="14">
                  <c:v>5.0600000000000005</c:v>
                </c:pt>
                <c:pt idx="15">
                  <c:v>5.3900000000000006</c:v>
                </c:pt>
                <c:pt idx="16">
                  <c:v>5.7200000000000006</c:v>
                </c:pt>
                <c:pt idx="17">
                  <c:v>6.0500000000000007</c:v>
                </c:pt>
                <c:pt idx="18">
                  <c:v>6.3800000000000008</c:v>
                </c:pt>
                <c:pt idx="19">
                  <c:v>6.76</c:v>
                </c:pt>
                <c:pt idx="20">
                  <c:v>7.09</c:v>
                </c:pt>
                <c:pt idx="21">
                  <c:v>7.42</c:v>
                </c:pt>
                <c:pt idx="22">
                  <c:v>7.75</c:v>
                </c:pt>
                <c:pt idx="23">
                  <c:v>8.08</c:v>
                </c:pt>
                <c:pt idx="24">
                  <c:v>8.41</c:v>
                </c:pt>
                <c:pt idx="25">
                  <c:v>8.74</c:v>
                </c:pt>
                <c:pt idx="26">
                  <c:v>9.07</c:v>
                </c:pt>
                <c:pt idx="27">
                  <c:v>9.4</c:v>
                </c:pt>
                <c:pt idx="28">
                  <c:v>9.74</c:v>
                </c:pt>
                <c:pt idx="29">
                  <c:v>10.07</c:v>
                </c:pt>
                <c:pt idx="30">
                  <c:v>10.4</c:v>
                </c:pt>
              </c:numCache>
            </c:numRef>
          </c:xVal>
          <c:yVal>
            <c:numRef>
              <c:f>Ausgleichsrechnung!$B$2:$B$32</c:f>
              <c:numCache>
                <c:formatCode>#,##0.00</c:formatCode>
                <c:ptCount val="31"/>
                <c:pt idx="0">
                  <c:v>0.03</c:v>
                </c:pt>
                <c:pt idx="1">
                  <c:v>6.7500000000000004E-2</c:v>
                </c:pt>
                <c:pt idx="2">
                  <c:v>0.11749999999999999</c:v>
                </c:pt>
                <c:pt idx="3">
                  <c:v>0.15500000000000003</c:v>
                </c:pt>
                <c:pt idx="4">
                  <c:v>0.20500000000000002</c:v>
                </c:pt>
                <c:pt idx="5">
                  <c:v>0.26750000000000002</c:v>
                </c:pt>
                <c:pt idx="6">
                  <c:v>0.32999999999999996</c:v>
                </c:pt>
                <c:pt idx="7">
                  <c:v>0.38</c:v>
                </c:pt>
                <c:pt idx="8">
                  <c:v>0.4425</c:v>
                </c:pt>
                <c:pt idx="9">
                  <c:v>0.505</c:v>
                </c:pt>
                <c:pt idx="10">
                  <c:v>0.5675</c:v>
                </c:pt>
                <c:pt idx="11">
                  <c:v>0.64249999999999996</c:v>
                </c:pt>
                <c:pt idx="12">
                  <c:v>0.70500000000000007</c:v>
                </c:pt>
                <c:pt idx="13">
                  <c:v>0.77999999999999992</c:v>
                </c:pt>
                <c:pt idx="14">
                  <c:v>0.85500000000000009</c:v>
                </c:pt>
                <c:pt idx="15">
                  <c:v>0.93</c:v>
                </c:pt>
                <c:pt idx="16">
                  <c:v>1.0049999999999999</c:v>
                </c:pt>
                <c:pt idx="17">
                  <c:v>1.08</c:v>
                </c:pt>
                <c:pt idx="18">
                  <c:v>1.1549999999999998</c:v>
                </c:pt>
                <c:pt idx="19">
                  <c:v>1.2425000000000002</c:v>
                </c:pt>
                <c:pt idx="20">
                  <c:v>1.3174999999999999</c:v>
                </c:pt>
                <c:pt idx="21">
                  <c:v>1.4049999999999998</c:v>
                </c:pt>
                <c:pt idx="22">
                  <c:v>1.48</c:v>
                </c:pt>
                <c:pt idx="23">
                  <c:v>1.5550000000000002</c:v>
                </c:pt>
                <c:pt idx="24">
                  <c:v>1.6425000000000001</c:v>
                </c:pt>
                <c:pt idx="25">
                  <c:v>1.7174999999999998</c:v>
                </c:pt>
                <c:pt idx="26">
                  <c:v>1.8050000000000002</c:v>
                </c:pt>
                <c:pt idx="27">
                  <c:v>1.88</c:v>
                </c:pt>
                <c:pt idx="28">
                  <c:v>1.9674999999999998</c:v>
                </c:pt>
                <c:pt idx="29">
                  <c:v>2.0425</c:v>
                </c:pt>
                <c:pt idx="30">
                  <c:v>2.1174999999999997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Ausgleichsrechnung!$A$2:$A$32</c:f>
              <c:numCache>
                <c:formatCode>#,##0.00</c:formatCode>
                <c:ptCount val="31"/>
                <c:pt idx="0">
                  <c:v>0.43999999999999928</c:v>
                </c:pt>
                <c:pt idx="1">
                  <c:v>0.76999999999999935</c:v>
                </c:pt>
                <c:pt idx="2">
                  <c:v>1.0999999999999992</c:v>
                </c:pt>
                <c:pt idx="3">
                  <c:v>1.4299999999999993</c:v>
                </c:pt>
                <c:pt idx="4">
                  <c:v>1.7599999999999993</c:v>
                </c:pt>
                <c:pt idx="5">
                  <c:v>2.0899999999999994</c:v>
                </c:pt>
                <c:pt idx="6">
                  <c:v>2.4199999999999995</c:v>
                </c:pt>
                <c:pt idx="7">
                  <c:v>2.7499999999999996</c:v>
                </c:pt>
                <c:pt idx="8">
                  <c:v>3.0799999999999996</c:v>
                </c:pt>
                <c:pt idx="9">
                  <c:v>3.4099999999999997</c:v>
                </c:pt>
                <c:pt idx="10">
                  <c:v>3.7399999999999998</c:v>
                </c:pt>
                <c:pt idx="11">
                  <c:v>4.07</c:v>
                </c:pt>
                <c:pt idx="12">
                  <c:v>4.4000000000000004</c:v>
                </c:pt>
                <c:pt idx="13">
                  <c:v>4.7300000000000004</c:v>
                </c:pt>
                <c:pt idx="14">
                  <c:v>5.0600000000000005</c:v>
                </c:pt>
                <c:pt idx="15">
                  <c:v>5.3900000000000006</c:v>
                </c:pt>
                <c:pt idx="16">
                  <c:v>5.7200000000000006</c:v>
                </c:pt>
                <c:pt idx="17">
                  <c:v>6.0500000000000007</c:v>
                </c:pt>
                <c:pt idx="18">
                  <c:v>6.3800000000000008</c:v>
                </c:pt>
                <c:pt idx="19">
                  <c:v>6.76</c:v>
                </c:pt>
                <c:pt idx="20">
                  <c:v>7.09</c:v>
                </c:pt>
                <c:pt idx="21">
                  <c:v>7.42</c:v>
                </c:pt>
                <c:pt idx="22">
                  <c:v>7.75</c:v>
                </c:pt>
                <c:pt idx="23">
                  <c:v>8.08</c:v>
                </c:pt>
                <c:pt idx="24">
                  <c:v>8.41</c:v>
                </c:pt>
                <c:pt idx="25">
                  <c:v>8.74</c:v>
                </c:pt>
                <c:pt idx="26">
                  <c:v>9.07</c:v>
                </c:pt>
                <c:pt idx="27">
                  <c:v>9.4</c:v>
                </c:pt>
                <c:pt idx="28">
                  <c:v>9.74</c:v>
                </c:pt>
                <c:pt idx="29">
                  <c:v>10.07</c:v>
                </c:pt>
                <c:pt idx="30">
                  <c:v>10.4</c:v>
                </c:pt>
              </c:numCache>
            </c:numRef>
          </c:xVal>
          <c:yVal>
            <c:numRef>
              <c:f>Ausgleichsrechnung!$C$2:$C$32</c:f>
              <c:numCache>
                <c:formatCode>#,##0.00</c:formatCode>
                <c:ptCount val="31"/>
                <c:pt idx="0">
                  <c:v>3.0005154337919091E-2</c:v>
                </c:pt>
                <c:pt idx="1">
                  <c:v>6.8984749644792856E-2</c:v>
                </c:pt>
                <c:pt idx="2">
                  <c:v>0.11230715967468842</c:v>
                </c:pt>
                <c:pt idx="3">
                  <c:v>0.15955523592759099</c:v>
                </c:pt>
                <c:pt idx="4">
                  <c:v>0.21035128624686097</c:v>
                </c:pt>
                <c:pt idx="5">
                  <c:v>0.26435447541308554</c:v>
                </c:pt>
                <c:pt idx="6">
                  <c:v>0.32125822573793011</c:v>
                </c:pt>
                <c:pt idx="7">
                  <c:v>0.3807876176579903</c:v>
                </c:pt>
                <c:pt idx="8">
                  <c:v>0.44269679032864268</c:v>
                </c:pt>
                <c:pt idx="9">
                  <c:v>0.50676634221789707</c:v>
                </c:pt>
                <c:pt idx="10">
                  <c:v>0.5728007317002477</c:v>
                </c:pt>
                <c:pt idx="11">
                  <c:v>0.64062567765052503</c:v>
                </c:pt>
                <c:pt idx="12">
                  <c:v>0.71008556003774659</c:v>
                </c:pt>
                <c:pt idx="13">
                  <c:v>0.78104082051896928</c:v>
                </c:pt>
                <c:pt idx="14">
                  <c:v>0.8533653630331407</c:v>
                </c:pt>
                <c:pt idx="15">
                  <c:v>0.92694395439495081</c:v>
                </c:pt>
                <c:pt idx="16">
                  <c:v>1.0016696248886832</c:v>
                </c:pt>
                <c:pt idx="17">
                  <c:v>1.0774410688620664</c:v>
                </c:pt>
                <c:pt idx="18">
                  <c:v>1.1541600453201262</c:v>
                </c:pt>
                <c:pt idx="19">
                  <c:v>1.2435495456421999</c:v>
                </c:pt>
                <c:pt idx="20">
                  <c:v>1.3219727614514334</c:v>
                </c:pt>
                <c:pt idx="21">
                  <c:v>1.4010247500089617</c:v>
                </c:pt>
                <c:pt idx="22">
                  <c:v>1.4805921970700764</c:v>
                </c:pt>
                <c:pt idx="23">
                  <c:v>1.5605514621672081</c:v>
                </c:pt>
                <c:pt idx="24">
                  <c:v>1.6407659792037759</c:v>
                </c:pt>
                <c:pt idx="25">
                  <c:v>1.721083657048041</c:v>
                </c:pt>
                <c:pt idx="26">
                  <c:v>1.8013342801269561</c:v>
                </c:pt>
                <c:pt idx="27">
                  <c:v>1.88132690902002</c:v>
                </c:pt>
                <c:pt idx="28">
                  <c:v>1.9632471499796595</c:v>
                </c:pt>
                <c:pt idx="29">
                  <c:v>2.0420294465399138</c:v>
                </c:pt>
                <c:pt idx="30">
                  <c:v>2.1198219781479022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78784"/>
        <c:axId val="50225152"/>
      </c:scatterChart>
      <c:valAx>
        <c:axId val="48678784"/>
        <c:scaling>
          <c:orientation val="minMax"/>
          <c:max val="10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225152"/>
        <c:crosses val="autoZero"/>
        <c:crossBetween val="midCat"/>
        <c:majorUnit val="1"/>
        <c:minorUnit val="0.1"/>
      </c:valAx>
      <c:valAx>
        <c:axId val="502251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678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36</xdr:col>
      <xdr:colOff>28575</xdr:colOff>
      <xdr:row>46</xdr:row>
      <xdr:rowOff>38100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7</xdr:row>
      <xdr:rowOff>66675</xdr:rowOff>
    </xdr:from>
    <xdr:to>
      <xdr:col>16</xdr:col>
      <xdr:colOff>19050</xdr:colOff>
      <xdr:row>44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1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5.85546875" style="1" customWidth="1"/>
    <col min="2" max="9" width="12.7109375" customWidth="1"/>
  </cols>
  <sheetData>
    <row r="1" spans="1:10" s="3" customFormat="1" ht="15.75" x14ac:dyDescent="0.25">
      <c r="A1" s="23" t="s">
        <v>17</v>
      </c>
      <c r="B1" s="15" t="s">
        <v>2</v>
      </c>
      <c r="C1" s="15" t="s">
        <v>4</v>
      </c>
      <c r="D1" s="15" t="s">
        <v>27</v>
      </c>
      <c r="E1" s="16" t="s">
        <v>6</v>
      </c>
      <c r="F1" s="15" t="s">
        <v>9</v>
      </c>
      <c r="G1" s="116" t="s">
        <v>43</v>
      </c>
    </row>
    <row r="2" spans="1:10" s="4" customFormat="1" ht="15.75" x14ac:dyDescent="0.2">
      <c r="B2" s="17" t="s">
        <v>15</v>
      </c>
      <c r="C2" s="18">
        <v>39505</v>
      </c>
      <c r="D2" s="17">
        <v>19</v>
      </c>
      <c r="E2" s="19">
        <v>125</v>
      </c>
      <c r="F2" s="20">
        <v>8</v>
      </c>
    </row>
    <row r="3" spans="1:10" s="4" customFormat="1" ht="15.75" x14ac:dyDescent="0.2">
      <c r="B3" s="10"/>
      <c r="C3" s="10"/>
      <c r="D3" s="11"/>
      <c r="E3" s="10"/>
      <c r="F3" s="12"/>
      <c r="G3" s="13"/>
      <c r="H3" s="13"/>
      <c r="I3" s="14"/>
    </row>
    <row r="4" spans="1:10" s="3" customFormat="1" ht="15.75" x14ac:dyDescent="0.25">
      <c r="A4" s="23" t="s">
        <v>18</v>
      </c>
      <c r="B4" s="15" t="s">
        <v>5</v>
      </c>
      <c r="C4" s="15" t="s">
        <v>12</v>
      </c>
      <c r="D4" s="15" t="s">
        <v>6</v>
      </c>
      <c r="E4" s="16" t="s">
        <v>7</v>
      </c>
      <c r="F4" s="21" t="s">
        <v>8</v>
      </c>
    </row>
    <row r="5" spans="1:10" s="4" customFormat="1" ht="15.75" x14ac:dyDescent="0.2">
      <c r="B5" s="17" t="s">
        <v>16</v>
      </c>
      <c r="C5" s="17" t="s">
        <v>30</v>
      </c>
      <c r="D5" s="22">
        <v>0.45833333333333331</v>
      </c>
      <c r="E5" s="21" t="s">
        <v>29</v>
      </c>
      <c r="F5" s="21" t="s">
        <v>31</v>
      </c>
    </row>
    <row r="6" spans="1:10" s="4" customFormat="1" ht="15.75" x14ac:dyDescent="0.2">
      <c r="A6" s="10"/>
      <c r="B6" s="10"/>
      <c r="C6" s="11"/>
      <c r="D6" s="10"/>
      <c r="E6" s="12"/>
      <c r="F6" s="13"/>
      <c r="G6" s="13"/>
      <c r="H6" s="14"/>
    </row>
    <row r="7" spans="1:10" s="1" customFormat="1" ht="15.75" x14ac:dyDescent="0.25">
      <c r="A7" s="23" t="s">
        <v>19</v>
      </c>
      <c r="B7" s="28" t="s">
        <v>20</v>
      </c>
      <c r="C7" s="28" t="s">
        <v>0</v>
      </c>
      <c r="D7" s="28" t="s">
        <v>40</v>
      </c>
      <c r="E7" s="28" t="s">
        <v>13</v>
      </c>
      <c r="F7" s="28" t="s">
        <v>41</v>
      </c>
      <c r="G7" s="29" t="s">
        <v>10</v>
      </c>
      <c r="I7" s="73"/>
      <c r="J7" s="86"/>
    </row>
    <row r="8" spans="1:10" s="1" customFormat="1" x14ac:dyDescent="0.2">
      <c r="B8" s="2">
        <v>1</v>
      </c>
      <c r="C8" s="8">
        <v>10</v>
      </c>
      <c r="D8" s="31">
        <v>2.2374999999999998</v>
      </c>
      <c r="E8" s="5">
        <v>0</v>
      </c>
      <c r="F8" s="9">
        <f>D8*(1+E8)-$G$8</f>
        <v>2.1174999999999997</v>
      </c>
      <c r="G8" s="9">
        <v>0.12</v>
      </c>
      <c r="I8" s="73"/>
      <c r="J8" s="86"/>
    </row>
    <row r="9" spans="1:10" s="1" customFormat="1" x14ac:dyDescent="0.2">
      <c r="B9" s="2">
        <v>2</v>
      </c>
      <c r="C9" s="8">
        <f>C8-0.33</f>
        <v>9.67</v>
      </c>
      <c r="D9" s="31">
        <v>2.1625000000000001</v>
      </c>
      <c r="E9" s="5">
        <v>0</v>
      </c>
      <c r="F9" s="9">
        <f t="shared" ref="F9:F27" si="0">D9*(1+E9)-$G$8</f>
        <v>2.0425</v>
      </c>
      <c r="G9" s="7"/>
      <c r="H9" s="86"/>
      <c r="I9" s="73"/>
      <c r="J9" s="86"/>
    </row>
    <row r="10" spans="1:10" s="1" customFormat="1" x14ac:dyDescent="0.2">
      <c r="B10" s="2">
        <v>3</v>
      </c>
      <c r="C10" s="8">
        <f t="shared" ref="C10:C38" si="1">C9-0.33</f>
        <v>9.34</v>
      </c>
      <c r="D10" s="31">
        <v>2.0874999999999999</v>
      </c>
      <c r="E10" s="5">
        <v>0</v>
      </c>
      <c r="F10" s="9">
        <f t="shared" si="0"/>
        <v>1.9674999999999998</v>
      </c>
      <c r="G10" s="7"/>
      <c r="H10" s="86"/>
      <c r="I10" s="73"/>
      <c r="J10" s="86"/>
    </row>
    <row r="11" spans="1:10" s="1" customFormat="1" x14ac:dyDescent="0.2">
      <c r="B11" s="2">
        <v>4</v>
      </c>
      <c r="C11" s="8">
        <v>9</v>
      </c>
      <c r="D11" s="31">
        <v>2</v>
      </c>
      <c r="E11" s="5">
        <v>0</v>
      </c>
      <c r="F11" s="9">
        <f t="shared" si="0"/>
        <v>1.88</v>
      </c>
      <c r="G11" s="7"/>
      <c r="H11" s="86"/>
      <c r="I11" s="73"/>
      <c r="J11" s="86"/>
    </row>
    <row r="12" spans="1:10" s="1" customFormat="1" x14ac:dyDescent="0.2">
      <c r="B12" s="2">
        <v>5</v>
      </c>
      <c r="C12" s="8">
        <f t="shared" si="1"/>
        <v>8.67</v>
      </c>
      <c r="D12" s="31">
        <v>1.925</v>
      </c>
      <c r="E12" s="5">
        <v>0</v>
      </c>
      <c r="F12" s="9">
        <f t="shared" si="0"/>
        <v>1.8050000000000002</v>
      </c>
      <c r="G12" s="7"/>
      <c r="H12" s="86"/>
      <c r="I12" s="73"/>
      <c r="J12" s="86"/>
    </row>
    <row r="13" spans="1:10" s="1" customFormat="1" x14ac:dyDescent="0.2">
      <c r="B13" s="2">
        <v>6</v>
      </c>
      <c r="C13" s="8">
        <f t="shared" si="1"/>
        <v>8.34</v>
      </c>
      <c r="D13" s="31">
        <v>1.8374999999999999</v>
      </c>
      <c r="E13" s="5">
        <v>0</v>
      </c>
      <c r="F13" s="9">
        <f t="shared" si="0"/>
        <v>1.7174999999999998</v>
      </c>
      <c r="G13" s="7"/>
      <c r="H13" s="86"/>
      <c r="I13" s="73"/>
      <c r="J13" s="86"/>
    </row>
    <row r="14" spans="1:10" s="1" customFormat="1" x14ac:dyDescent="0.2">
      <c r="B14" s="2">
        <v>7</v>
      </c>
      <c r="C14" s="8">
        <f t="shared" si="1"/>
        <v>8.01</v>
      </c>
      <c r="D14" s="31">
        <v>1.7625</v>
      </c>
      <c r="E14" s="5">
        <v>0</v>
      </c>
      <c r="F14" s="9">
        <f t="shared" si="0"/>
        <v>1.6425000000000001</v>
      </c>
      <c r="G14" s="7"/>
      <c r="H14" s="86"/>
      <c r="I14" s="73"/>
      <c r="J14" s="86"/>
    </row>
    <row r="15" spans="1:10" s="1" customFormat="1" x14ac:dyDescent="0.2">
      <c r="B15" s="2">
        <v>8</v>
      </c>
      <c r="C15" s="8">
        <f t="shared" si="1"/>
        <v>7.68</v>
      </c>
      <c r="D15" s="31">
        <v>1.675</v>
      </c>
      <c r="E15" s="5">
        <v>0</v>
      </c>
      <c r="F15" s="9">
        <f t="shared" si="0"/>
        <v>1.5550000000000002</v>
      </c>
      <c r="G15" s="7"/>
      <c r="H15" s="86"/>
      <c r="I15" s="73"/>
      <c r="J15" s="86"/>
    </row>
    <row r="16" spans="1:10" s="1" customFormat="1" x14ac:dyDescent="0.2">
      <c r="B16" s="2">
        <v>9</v>
      </c>
      <c r="C16" s="8">
        <f t="shared" si="1"/>
        <v>7.35</v>
      </c>
      <c r="D16" s="31">
        <v>1.6</v>
      </c>
      <c r="E16" s="5">
        <v>0</v>
      </c>
      <c r="F16" s="9">
        <f t="shared" si="0"/>
        <v>1.48</v>
      </c>
      <c r="G16" s="7"/>
      <c r="H16" s="86"/>
      <c r="I16" s="73"/>
      <c r="J16" s="86"/>
    </row>
    <row r="17" spans="2:10" s="1" customFormat="1" x14ac:dyDescent="0.2">
      <c r="B17" s="2">
        <v>10</v>
      </c>
      <c r="C17" s="8">
        <f t="shared" si="1"/>
        <v>7.02</v>
      </c>
      <c r="D17" s="31">
        <v>1.5249999999999999</v>
      </c>
      <c r="E17" s="5">
        <v>0</v>
      </c>
      <c r="F17" s="9">
        <f t="shared" si="0"/>
        <v>1.4049999999999998</v>
      </c>
      <c r="G17" s="7"/>
      <c r="H17" s="86"/>
      <c r="I17" s="73"/>
      <c r="J17" s="86"/>
    </row>
    <row r="18" spans="2:10" s="1" customFormat="1" x14ac:dyDescent="0.2">
      <c r="B18" s="2">
        <v>11</v>
      </c>
      <c r="C18" s="8">
        <f t="shared" si="1"/>
        <v>6.6899999999999995</v>
      </c>
      <c r="D18" s="31">
        <v>1.4375</v>
      </c>
      <c r="E18" s="5">
        <v>0</v>
      </c>
      <c r="F18" s="9">
        <f t="shared" si="0"/>
        <v>1.3174999999999999</v>
      </c>
      <c r="G18" s="7"/>
      <c r="H18" s="86"/>
      <c r="I18" s="73"/>
      <c r="J18" s="86"/>
    </row>
    <row r="19" spans="2:10" s="1" customFormat="1" x14ac:dyDescent="0.2">
      <c r="B19" s="2">
        <v>12</v>
      </c>
      <c r="C19" s="8">
        <f t="shared" si="1"/>
        <v>6.3599999999999994</v>
      </c>
      <c r="D19" s="31">
        <v>1.3625</v>
      </c>
      <c r="E19" s="5">
        <v>0</v>
      </c>
      <c r="F19" s="9">
        <f t="shared" si="0"/>
        <v>1.2425000000000002</v>
      </c>
      <c r="H19" s="86"/>
      <c r="I19" s="73"/>
      <c r="J19" s="86"/>
    </row>
    <row r="20" spans="2:10" s="1" customFormat="1" x14ac:dyDescent="0.2">
      <c r="B20" s="2">
        <v>13</v>
      </c>
      <c r="C20" s="8">
        <v>5.98</v>
      </c>
      <c r="D20" s="31">
        <v>1.2749999999999999</v>
      </c>
      <c r="E20" s="5">
        <v>0</v>
      </c>
      <c r="F20" s="9">
        <f t="shared" si="0"/>
        <v>1.1549999999999998</v>
      </c>
      <c r="H20" s="86"/>
      <c r="I20" s="73"/>
      <c r="J20" s="86"/>
    </row>
    <row r="21" spans="2:10" s="1" customFormat="1" x14ac:dyDescent="0.2">
      <c r="B21" s="2">
        <v>14</v>
      </c>
      <c r="C21" s="8">
        <f t="shared" si="1"/>
        <v>5.65</v>
      </c>
      <c r="D21" s="31">
        <v>1.2</v>
      </c>
      <c r="E21" s="5">
        <v>0</v>
      </c>
      <c r="F21" s="9">
        <f t="shared" si="0"/>
        <v>1.08</v>
      </c>
      <c r="H21" s="86"/>
      <c r="I21" s="73"/>
      <c r="J21" s="86"/>
    </row>
    <row r="22" spans="2:10" s="1" customFormat="1" x14ac:dyDescent="0.2">
      <c r="B22" s="2">
        <v>15</v>
      </c>
      <c r="C22" s="8">
        <f t="shared" si="1"/>
        <v>5.32</v>
      </c>
      <c r="D22" s="31">
        <v>1.125</v>
      </c>
      <c r="E22" s="5">
        <v>0</v>
      </c>
      <c r="F22" s="9">
        <f t="shared" si="0"/>
        <v>1.0049999999999999</v>
      </c>
      <c r="H22" s="86"/>
      <c r="I22" s="73"/>
      <c r="J22" s="86"/>
    </row>
    <row r="23" spans="2:10" s="1" customFormat="1" x14ac:dyDescent="0.2">
      <c r="B23" s="2">
        <v>16</v>
      </c>
      <c r="C23" s="8">
        <f t="shared" si="1"/>
        <v>4.99</v>
      </c>
      <c r="D23" s="31">
        <v>1.05</v>
      </c>
      <c r="E23" s="5">
        <v>0</v>
      </c>
      <c r="F23" s="9">
        <f t="shared" si="0"/>
        <v>0.93</v>
      </c>
      <c r="H23" s="86"/>
      <c r="I23" s="73"/>
      <c r="J23" s="86"/>
    </row>
    <row r="24" spans="2:10" s="1" customFormat="1" x14ac:dyDescent="0.2">
      <c r="B24" s="2">
        <v>17</v>
      </c>
      <c r="C24" s="8">
        <f t="shared" si="1"/>
        <v>4.66</v>
      </c>
      <c r="D24" s="31">
        <v>0.97500000000000009</v>
      </c>
      <c r="E24" s="5">
        <v>0</v>
      </c>
      <c r="F24" s="9">
        <f t="shared" si="0"/>
        <v>0.85500000000000009</v>
      </c>
      <c r="H24" s="86"/>
      <c r="I24" s="73"/>
      <c r="J24" s="86"/>
    </row>
    <row r="25" spans="2:10" s="1" customFormat="1" x14ac:dyDescent="0.2">
      <c r="B25" s="2">
        <v>18</v>
      </c>
      <c r="C25" s="8">
        <f t="shared" si="1"/>
        <v>4.33</v>
      </c>
      <c r="D25" s="31">
        <v>0.89999999999999991</v>
      </c>
      <c r="E25" s="5">
        <v>0</v>
      </c>
      <c r="F25" s="9">
        <f t="shared" si="0"/>
        <v>0.77999999999999992</v>
      </c>
      <c r="H25" s="86"/>
      <c r="I25" s="73"/>
      <c r="J25" s="86"/>
    </row>
    <row r="26" spans="2:10" s="1" customFormat="1" x14ac:dyDescent="0.2">
      <c r="B26" s="2">
        <v>19</v>
      </c>
      <c r="C26" s="8">
        <f t="shared" si="1"/>
        <v>4</v>
      </c>
      <c r="D26" s="31">
        <v>0.82500000000000007</v>
      </c>
      <c r="E26" s="5">
        <v>0</v>
      </c>
      <c r="F26" s="9">
        <f t="shared" si="0"/>
        <v>0.70500000000000007</v>
      </c>
      <c r="H26" s="86"/>
      <c r="I26" s="73"/>
      <c r="J26" s="86"/>
    </row>
    <row r="27" spans="2:10" s="1" customFormat="1" x14ac:dyDescent="0.2">
      <c r="B27" s="2">
        <v>20</v>
      </c>
      <c r="C27" s="8">
        <f t="shared" si="1"/>
        <v>3.67</v>
      </c>
      <c r="D27" s="31">
        <v>0.76249999999999996</v>
      </c>
      <c r="E27" s="5">
        <v>0</v>
      </c>
      <c r="F27" s="9">
        <f t="shared" si="0"/>
        <v>0.64249999999999996</v>
      </c>
      <c r="H27" s="86"/>
      <c r="I27" s="73"/>
      <c r="J27" s="86"/>
    </row>
    <row r="28" spans="2:10" s="1" customFormat="1" x14ac:dyDescent="0.2">
      <c r="B28" s="2">
        <v>21</v>
      </c>
      <c r="C28" s="8">
        <f t="shared" si="1"/>
        <v>3.34</v>
      </c>
      <c r="D28" s="31">
        <v>0.6875</v>
      </c>
      <c r="E28" s="24">
        <v>0</v>
      </c>
      <c r="F28" s="9">
        <f t="shared" ref="F28:F38" si="2">D28*(1+E28)-$G$8</f>
        <v>0.5675</v>
      </c>
      <c r="H28" s="86"/>
      <c r="I28" s="73"/>
      <c r="J28" s="86"/>
    </row>
    <row r="29" spans="2:10" s="1" customFormat="1" x14ac:dyDescent="0.2">
      <c r="B29" s="2">
        <v>22</v>
      </c>
      <c r="C29" s="8">
        <f t="shared" si="1"/>
        <v>3.01</v>
      </c>
      <c r="D29" s="31">
        <v>0.625</v>
      </c>
      <c r="E29" s="24">
        <v>0</v>
      </c>
      <c r="F29" s="9">
        <f t="shared" si="2"/>
        <v>0.505</v>
      </c>
      <c r="I29" s="73"/>
      <c r="J29" s="86"/>
    </row>
    <row r="30" spans="2:10" s="1" customFormat="1" x14ac:dyDescent="0.2">
      <c r="B30" s="2">
        <v>23</v>
      </c>
      <c r="C30" s="8">
        <f t="shared" si="1"/>
        <v>2.6799999999999997</v>
      </c>
      <c r="D30" s="31">
        <v>0.5625</v>
      </c>
      <c r="E30" s="24">
        <v>0</v>
      </c>
      <c r="F30" s="9">
        <f t="shared" si="2"/>
        <v>0.4425</v>
      </c>
      <c r="I30" s="73"/>
      <c r="J30" s="86"/>
    </row>
    <row r="31" spans="2:10" s="1" customFormat="1" x14ac:dyDescent="0.2">
      <c r="B31" s="2">
        <v>24</v>
      </c>
      <c r="C31" s="8">
        <f t="shared" si="1"/>
        <v>2.3499999999999996</v>
      </c>
      <c r="D31" s="31">
        <v>0.5</v>
      </c>
      <c r="E31" s="24">
        <v>0</v>
      </c>
      <c r="F31" s="9">
        <f t="shared" si="2"/>
        <v>0.38</v>
      </c>
      <c r="I31" s="73"/>
      <c r="J31" s="86"/>
    </row>
    <row r="32" spans="2:10" s="1" customFormat="1" x14ac:dyDescent="0.2">
      <c r="B32" s="2">
        <v>25</v>
      </c>
      <c r="C32" s="8">
        <f t="shared" si="1"/>
        <v>2.0199999999999996</v>
      </c>
      <c r="D32" s="31">
        <v>0.44999999999999996</v>
      </c>
      <c r="E32" s="24">
        <v>0</v>
      </c>
      <c r="F32" s="9">
        <f t="shared" si="2"/>
        <v>0.32999999999999996</v>
      </c>
      <c r="I32" s="73"/>
      <c r="J32" s="86"/>
    </row>
    <row r="33" spans="1:10" s="1" customFormat="1" x14ac:dyDescent="0.2">
      <c r="B33" s="2">
        <v>26</v>
      </c>
      <c r="C33" s="8">
        <f t="shared" si="1"/>
        <v>1.6899999999999995</v>
      </c>
      <c r="D33" s="31">
        <v>0.38750000000000001</v>
      </c>
      <c r="E33" s="24">
        <v>0</v>
      </c>
      <c r="F33" s="9">
        <f t="shared" si="2"/>
        <v>0.26750000000000002</v>
      </c>
      <c r="I33" s="73"/>
      <c r="J33" s="86"/>
    </row>
    <row r="34" spans="1:10" s="1" customFormat="1" x14ac:dyDescent="0.2">
      <c r="B34" s="2">
        <v>27</v>
      </c>
      <c r="C34" s="8">
        <f t="shared" si="1"/>
        <v>1.3599999999999994</v>
      </c>
      <c r="D34" s="31">
        <v>0.32500000000000001</v>
      </c>
      <c r="E34" s="24">
        <v>0</v>
      </c>
      <c r="F34" s="9">
        <f t="shared" si="2"/>
        <v>0.20500000000000002</v>
      </c>
      <c r="I34" s="73"/>
      <c r="J34" s="86"/>
    </row>
    <row r="35" spans="1:10" s="1" customFormat="1" x14ac:dyDescent="0.2">
      <c r="B35" s="2">
        <v>28</v>
      </c>
      <c r="C35" s="8">
        <f t="shared" si="1"/>
        <v>1.0299999999999994</v>
      </c>
      <c r="D35" s="31">
        <v>0.27500000000000002</v>
      </c>
      <c r="E35" s="24">
        <v>0</v>
      </c>
      <c r="F35" s="9">
        <f t="shared" si="2"/>
        <v>0.15500000000000003</v>
      </c>
      <c r="I35" s="73"/>
      <c r="J35" s="86"/>
    </row>
    <row r="36" spans="1:10" s="1" customFormat="1" x14ac:dyDescent="0.2">
      <c r="B36" s="2">
        <v>29</v>
      </c>
      <c r="C36" s="8">
        <f t="shared" si="1"/>
        <v>0.69999999999999929</v>
      </c>
      <c r="D36" s="31">
        <v>0.23749999999999999</v>
      </c>
      <c r="E36" s="24">
        <v>0</v>
      </c>
      <c r="F36" s="9">
        <f t="shared" si="2"/>
        <v>0.11749999999999999</v>
      </c>
      <c r="I36" s="73"/>
      <c r="J36" s="86"/>
    </row>
    <row r="37" spans="1:10" s="1" customFormat="1" x14ac:dyDescent="0.2">
      <c r="B37" s="2">
        <v>30</v>
      </c>
      <c r="C37" s="8">
        <f t="shared" si="1"/>
        <v>0.36999999999999927</v>
      </c>
      <c r="D37" s="31">
        <v>0.1875</v>
      </c>
      <c r="E37" s="24">
        <v>0</v>
      </c>
      <c r="F37" s="9">
        <f t="shared" si="2"/>
        <v>6.7500000000000004E-2</v>
      </c>
      <c r="I37" s="73"/>
      <c r="J37" s="86"/>
    </row>
    <row r="38" spans="1:10" s="1" customFormat="1" x14ac:dyDescent="0.2">
      <c r="B38" s="2">
        <v>31</v>
      </c>
      <c r="C38" s="8">
        <f t="shared" si="1"/>
        <v>3.9999999999999258E-2</v>
      </c>
      <c r="D38" s="31">
        <v>0.15</v>
      </c>
      <c r="E38" s="24">
        <v>0</v>
      </c>
      <c r="F38" s="9">
        <f t="shared" si="2"/>
        <v>0.03</v>
      </c>
      <c r="I38" s="73"/>
    </row>
    <row r="40" spans="1:10" x14ac:dyDescent="0.2">
      <c r="A40" s="6" t="s">
        <v>14</v>
      </c>
    </row>
    <row r="41" spans="1:10" x14ac:dyDescent="0.2">
      <c r="A41" s="25"/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>
    <oddFooter>&amp;L&amp;F&amp;C&amp;A&amp;R&amp;P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N16"/>
  <sheetViews>
    <sheetView tabSelected="1" zoomScale="95" zoomScaleNormal="85" workbookViewId="0">
      <selection activeCell="AL19" sqref="AL19"/>
    </sheetView>
  </sheetViews>
  <sheetFormatPr baseColWidth="10" defaultRowHeight="12.75" x14ac:dyDescent="0.2"/>
  <cols>
    <col min="1" max="1" width="10.85546875" style="26" customWidth="1"/>
    <col min="2" max="2" width="4" style="26" customWidth="1"/>
    <col min="3" max="3" width="8.42578125" style="26" customWidth="1"/>
    <col min="4" max="4" width="4.5703125" style="27" customWidth="1"/>
    <col min="5" max="23" width="4" style="27" customWidth="1"/>
    <col min="24" max="24" width="4.85546875" style="27" customWidth="1"/>
    <col min="25" max="31" width="4" style="27" customWidth="1"/>
    <col min="32" max="32" width="4.42578125" style="27" customWidth="1"/>
    <col min="33" max="33" width="5" style="27" customWidth="1"/>
    <col min="34" max="34" width="4.85546875" style="27" customWidth="1"/>
    <col min="35" max="35" width="4" style="27" bestFit="1" customWidth="1"/>
    <col min="36" max="36" width="6.28515625" style="27" bestFit="1" customWidth="1"/>
    <col min="37" max="37" width="4" style="27" bestFit="1" customWidth="1"/>
    <col min="38" max="38" width="5.140625" style="27" bestFit="1" customWidth="1"/>
    <col min="39" max="39" width="4" style="27" bestFit="1" customWidth="1"/>
    <col min="40" max="40" width="4.7109375" style="27" customWidth="1"/>
    <col min="41" max="16384" width="11.42578125" style="26"/>
  </cols>
  <sheetData>
    <row r="1" spans="1:40" s="32" customFormat="1" ht="11.25" x14ac:dyDescent="0.2">
      <c r="C1" s="136" t="s">
        <v>2</v>
      </c>
      <c r="D1" s="138" t="str">
        <f>Messungen!B2</f>
        <v>FP4+</v>
      </c>
      <c r="E1" s="123"/>
      <c r="F1" s="123"/>
      <c r="G1" s="139" t="s">
        <v>5</v>
      </c>
      <c r="H1" s="140"/>
      <c r="I1" s="141"/>
      <c r="J1" s="123" t="str">
        <f>Messungen!B5</f>
        <v>XTOL</v>
      </c>
      <c r="K1" s="123"/>
      <c r="L1" s="123"/>
      <c r="M1" s="123"/>
      <c r="N1" s="157" t="s">
        <v>3</v>
      </c>
      <c r="O1" s="158"/>
      <c r="P1" s="158"/>
      <c r="Q1" s="159"/>
      <c r="R1" s="123" t="str">
        <f>Messungen!C5</f>
        <v>1+2</v>
      </c>
      <c r="S1" s="123"/>
      <c r="T1" s="122" t="s">
        <v>6</v>
      </c>
      <c r="U1" s="123"/>
      <c r="V1" s="131">
        <f>Messungen!D5</f>
        <v>0.45833333333333331</v>
      </c>
      <c r="W1" s="128"/>
      <c r="X1" s="122" t="s">
        <v>7</v>
      </c>
      <c r="Y1" s="123"/>
      <c r="Z1" s="123" t="str">
        <f>Messungen!E5</f>
        <v>15/30/1x</v>
      </c>
      <c r="AA1" s="123"/>
      <c r="AB1" s="125" t="s">
        <v>8</v>
      </c>
      <c r="AC1" s="125"/>
      <c r="AD1" s="127" t="str">
        <f>Messungen!F5</f>
        <v>20 °C</v>
      </c>
      <c r="AE1" s="128"/>
      <c r="AF1" s="122" t="s">
        <v>4</v>
      </c>
      <c r="AG1" s="123"/>
      <c r="AH1" s="117">
        <f>Messungen!C2</f>
        <v>39505</v>
      </c>
      <c r="AI1" s="118"/>
      <c r="AJ1" s="119"/>
      <c r="AK1" s="33"/>
      <c r="AL1" s="33"/>
      <c r="AM1" s="34"/>
      <c r="AN1" s="34"/>
    </row>
    <row r="2" spans="1:40" s="35" customFormat="1" ht="12" thickBot="1" x14ac:dyDescent="0.25">
      <c r="C2" s="137"/>
      <c r="D2" s="124"/>
      <c r="E2" s="124"/>
      <c r="F2" s="124"/>
      <c r="G2" s="142"/>
      <c r="H2" s="143"/>
      <c r="I2" s="144"/>
      <c r="J2" s="124"/>
      <c r="K2" s="124"/>
      <c r="L2" s="124"/>
      <c r="M2" s="124"/>
      <c r="N2" s="160"/>
      <c r="O2" s="161"/>
      <c r="P2" s="161"/>
      <c r="Q2" s="162"/>
      <c r="R2" s="124"/>
      <c r="S2" s="124"/>
      <c r="T2" s="124"/>
      <c r="U2" s="124"/>
      <c r="V2" s="129"/>
      <c r="W2" s="130"/>
      <c r="X2" s="124"/>
      <c r="Y2" s="124"/>
      <c r="Z2" s="124"/>
      <c r="AA2" s="124"/>
      <c r="AB2" s="126"/>
      <c r="AC2" s="126"/>
      <c r="AD2" s="129"/>
      <c r="AE2" s="130"/>
      <c r="AF2" s="124"/>
      <c r="AG2" s="124"/>
      <c r="AH2" s="120"/>
      <c r="AI2" s="120"/>
      <c r="AJ2" s="121"/>
      <c r="AK2" s="33"/>
      <c r="AL2" s="33"/>
      <c r="AM2" s="37"/>
    </row>
    <row r="3" spans="1:40" s="32" customFormat="1" ht="11.25" x14ac:dyDescent="0.2">
      <c r="C3" s="132" t="s">
        <v>11</v>
      </c>
      <c r="D3" s="133"/>
      <c r="E3" s="133"/>
      <c r="F3" s="133"/>
      <c r="G3" s="145" t="s">
        <v>26</v>
      </c>
      <c r="H3" s="125"/>
      <c r="I3" s="125"/>
      <c r="J3" s="127">
        <f>Messungen!D2</f>
        <v>19</v>
      </c>
      <c r="K3" s="149" t="s">
        <v>27</v>
      </c>
      <c r="L3" s="151" t="s">
        <v>28</v>
      </c>
      <c r="M3" s="152"/>
      <c r="N3" s="152"/>
      <c r="O3" s="153"/>
      <c r="P3" s="163">
        <f>J3+AN10*3</f>
        <v>20.2</v>
      </c>
      <c r="Q3" s="165" t="s">
        <v>27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9"/>
      <c r="AK3" s="36"/>
      <c r="AL3" s="36"/>
    </row>
    <row r="4" spans="1:40" s="32" customFormat="1" ht="12" thickBot="1" x14ac:dyDescent="0.25">
      <c r="C4" s="134"/>
      <c r="D4" s="135"/>
      <c r="E4" s="135"/>
      <c r="F4" s="135"/>
      <c r="G4" s="146"/>
      <c r="H4" s="147"/>
      <c r="I4" s="147"/>
      <c r="J4" s="148"/>
      <c r="K4" s="150"/>
      <c r="L4" s="154"/>
      <c r="M4" s="155"/>
      <c r="N4" s="155"/>
      <c r="O4" s="156"/>
      <c r="P4" s="164"/>
      <c r="Q4" s="166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96" t="str">
        <f>Messungen!G1</f>
        <v>V2</v>
      </c>
      <c r="AK4" s="36"/>
      <c r="AL4" s="36"/>
    </row>
    <row r="5" spans="1:40" s="90" customFormat="1" ht="12" hidden="1" thickBot="1" x14ac:dyDescent="0.25">
      <c r="C5" s="91"/>
      <c r="D5" s="92">
        <v>0</v>
      </c>
      <c r="E5" s="92">
        <v>0.03</v>
      </c>
      <c r="F5" s="92">
        <v>7.0000000000000007E-2</v>
      </c>
      <c r="G5" s="92">
        <v>0.1</v>
      </c>
      <c r="H5" s="92">
        <v>0.14000000000000001</v>
      </c>
      <c r="I5" s="92">
        <v>0.19</v>
      </c>
      <c r="J5" s="93">
        <v>0.24</v>
      </c>
      <c r="K5" s="93">
        <v>0.28000000000000003</v>
      </c>
      <c r="L5" s="94">
        <v>0.33</v>
      </c>
      <c r="M5" s="94">
        <v>0.38</v>
      </c>
      <c r="N5" s="94">
        <v>0.43</v>
      </c>
      <c r="O5" s="94">
        <v>0.49</v>
      </c>
      <c r="P5" s="93">
        <v>0.54</v>
      </c>
      <c r="Q5" s="93">
        <v>0.6</v>
      </c>
      <c r="R5" s="92">
        <v>0.66</v>
      </c>
      <c r="S5" s="92">
        <v>0.72</v>
      </c>
      <c r="T5" s="92">
        <v>0.78</v>
      </c>
      <c r="U5" s="92">
        <v>0.84</v>
      </c>
      <c r="V5" s="92">
        <v>0.9</v>
      </c>
      <c r="W5" s="92">
        <v>0.97</v>
      </c>
      <c r="X5" s="92">
        <v>1.03</v>
      </c>
      <c r="Y5" s="92">
        <v>1.1000000000000001</v>
      </c>
      <c r="Z5" s="92">
        <v>1.1599999999999999</v>
      </c>
      <c r="AA5" s="92">
        <v>1.22</v>
      </c>
      <c r="AB5" s="92">
        <v>1.29</v>
      </c>
      <c r="AC5" s="92">
        <v>1.35</v>
      </c>
      <c r="AD5" s="92">
        <v>1.42</v>
      </c>
      <c r="AE5" s="92">
        <v>1.48</v>
      </c>
      <c r="AF5" s="92">
        <v>1.55</v>
      </c>
      <c r="AG5" s="92">
        <v>1.61</v>
      </c>
      <c r="AH5" s="92">
        <v>1.67</v>
      </c>
      <c r="AI5" s="91"/>
      <c r="AJ5" s="91"/>
      <c r="AK5" s="91"/>
      <c r="AL5" s="91"/>
    </row>
    <row r="6" spans="1:40" s="32" customFormat="1" ht="12" thickBot="1" x14ac:dyDescent="0.25"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111" t="s">
        <v>25</v>
      </c>
      <c r="AM6" s="112"/>
      <c r="AN6" s="113">
        <f>Ausgleichsrechnung!B37</f>
        <v>9.874625811049341E-2</v>
      </c>
    </row>
    <row r="7" spans="1:40" s="34" customFormat="1" ht="12" thickBot="1" x14ac:dyDescent="0.25">
      <c r="A7" s="81" t="s">
        <v>21</v>
      </c>
      <c r="B7" s="43"/>
      <c r="C7" s="44" t="s">
        <v>0</v>
      </c>
      <c r="D7" s="45">
        <v>0</v>
      </c>
      <c r="E7" s="46">
        <v>0.33333333333333331</v>
      </c>
      <c r="F7" s="46">
        <v>0.66666666666666663</v>
      </c>
      <c r="G7" s="47">
        <v>1</v>
      </c>
      <c r="H7" s="46">
        <v>1.3333333333333333</v>
      </c>
      <c r="I7" s="46">
        <v>1.6666666666666665</v>
      </c>
      <c r="J7" s="46">
        <v>2</v>
      </c>
      <c r="K7" s="46">
        <v>2.333333333333333</v>
      </c>
      <c r="L7" s="46">
        <v>2.6666666666666665</v>
      </c>
      <c r="M7" s="46">
        <v>3</v>
      </c>
      <c r="N7" s="46">
        <v>3.3333333333333335</v>
      </c>
      <c r="O7" s="46">
        <v>3.666666666666667</v>
      </c>
      <c r="P7" s="46">
        <v>4</v>
      </c>
      <c r="Q7" s="46">
        <v>4.333333333333333</v>
      </c>
      <c r="R7" s="46">
        <v>4.6666666666666661</v>
      </c>
      <c r="S7" s="46">
        <v>5</v>
      </c>
      <c r="T7" s="46">
        <v>5.3333333333333321</v>
      </c>
      <c r="U7" s="46">
        <v>5.6666666666666652</v>
      </c>
      <c r="V7" s="46">
        <v>6</v>
      </c>
      <c r="W7" s="46">
        <v>6.3333333333333313</v>
      </c>
      <c r="X7" s="46">
        <v>6.6666666666666643</v>
      </c>
      <c r="Y7" s="46">
        <v>7</v>
      </c>
      <c r="Z7" s="46">
        <v>7.3333333333333304</v>
      </c>
      <c r="AA7" s="46">
        <v>7.6666666666666634</v>
      </c>
      <c r="AB7" s="47">
        <v>8</v>
      </c>
      <c r="AC7" s="46">
        <v>8.3333333333333304</v>
      </c>
      <c r="AD7" s="46">
        <v>8.6666666666666643</v>
      </c>
      <c r="AE7" s="46">
        <v>9</v>
      </c>
      <c r="AF7" s="46">
        <v>9.3333333333333321</v>
      </c>
      <c r="AG7" s="46">
        <v>9.6666666666666661</v>
      </c>
      <c r="AH7" s="48">
        <v>10</v>
      </c>
      <c r="AL7" s="111" t="s">
        <v>32</v>
      </c>
      <c r="AM7" s="114" t="str">
        <f>IF(AN7&gt;0,"N+","N")</f>
        <v>N+</v>
      </c>
      <c r="AN7" s="115">
        <f>'N+-'!B9</f>
        <v>1.0441951750537317</v>
      </c>
    </row>
    <row r="8" spans="1:40" s="52" customFormat="1" ht="12" thickBot="1" x14ac:dyDescent="0.25">
      <c r="A8" s="30" t="s">
        <v>33</v>
      </c>
      <c r="B8" s="49">
        <v>1</v>
      </c>
      <c r="C8" s="50" t="s">
        <v>40</v>
      </c>
      <c r="D8" s="51">
        <f>D5*(1+($B$8-1)*D7/8)</f>
        <v>0</v>
      </c>
      <c r="E8" s="51">
        <f t="shared" ref="E8:AH8" si="0">E5*(1+($B$8-1)*E7/8)</f>
        <v>0.03</v>
      </c>
      <c r="F8" s="51">
        <f t="shared" si="0"/>
        <v>7.0000000000000007E-2</v>
      </c>
      <c r="G8" s="95">
        <f>G5*(1+($B$8-1)*G7/8)</f>
        <v>0.1</v>
      </c>
      <c r="H8" s="51">
        <f t="shared" si="0"/>
        <v>0.14000000000000001</v>
      </c>
      <c r="I8" s="51">
        <f t="shared" si="0"/>
        <v>0.19</v>
      </c>
      <c r="J8" s="51">
        <f t="shared" si="0"/>
        <v>0.24</v>
      </c>
      <c r="K8" s="51">
        <f t="shared" si="0"/>
        <v>0.28000000000000003</v>
      </c>
      <c r="L8" s="51">
        <f t="shared" si="0"/>
        <v>0.33</v>
      </c>
      <c r="M8" s="51">
        <f t="shared" si="0"/>
        <v>0.38</v>
      </c>
      <c r="N8" s="51">
        <f t="shared" si="0"/>
        <v>0.43</v>
      </c>
      <c r="O8" s="51">
        <f t="shared" si="0"/>
        <v>0.49</v>
      </c>
      <c r="P8" s="51">
        <f t="shared" si="0"/>
        <v>0.54</v>
      </c>
      <c r="Q8" s="51">
        <f t="shared" si="0"/>
        <v>0.6</v>
      </c>
      <c r="R8" s="51">
        <f t="shared" si="0"/>
        <v>0.66</v>
      </c>
      <c r="S8" s="51">
        <f t="shared" si="0"/>
        <v>0.72</v>
      </c>
      <c r="T8" s="51">
        <f t="shared" si="0"/>
        <v>0.78</v>
      </c>
      <c r="U8" s="51">
        <f t="shared" si="0"/>
        <v>0.84</v>
      </c>
      <c r="V8" s="51">
        <f t="shared" si="0"/>
        <v>0.9</v>
      </c>
      <c r="W8" s="51">
        <f t="shared" si="0"/>
        <v>0.97</v>
      </c>
      <c r="X8" s="51">
        <f t="shared" si="0"/>
        <v>1.03</v>
      </c>
      <c r="Y8" s="51">
        <f t="shared" si="0"/>
        <v>1.1000000000000001</v>
      </c>
      <c r="Z8" s="51">
        <f t="shared" si="0"/>
        <v>1.1599999999999999</v>
      </c>
      <c r="AA8" s="51">
        <f t="shared" si="0"/>
        <v>1.22</v>
      </c>
      <c r="AB8" s="95">
        <f t="shared" si="0"/>
        <v>1.29</v>
      </c>
      <c r="AC8" s="51">
        <f t="shared" si="0"/>
        <v>1.35</v>
      </c>
      <c r="AD8" s="51">
        <f t="shared" si="0"/>
        <v>1.42</v>
      </c>
      <c r="AE8" s="51">
        <f t="shared" si="0"/>
        <v>1.48</v>
      </c>
      <c r="AF8" s="51">
        <f t="shared" si="0"/>
        <v>1.55</v>
      </c>
      <c r="AG8" s="51">
        <f t="shared" si="0"/>
        <v>1.61</v>
      </c>
      <c r="AH8" s="51">
        <f t="shared" si="0"/>
        <v>1.67</v>
      </c>
    </row>
    <row r="9" spans="1:40" s="52" customFormat="1" ht="12" thickBot="1" x14ac:dyDescent="0.25">
      <c r="B9" s="53"/>
      <c r="C9" s="54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40" s="32" customFormat="1" ht="12" thickBot="1" x14ac:dyDescent="0.25">
      <c r="C10" s="55" t="s">
        <v>0</v>
      </c>
      <c r="D10" s="56">
        <f>Messungen!C38</f>
        <v>3.9999999999999258E-2</v>
      </c>
      <c r="E10" s="56">
        <f>Messungen!C37</f>
        <v>0.36999999999999927</v>
      </c>
      <c r="F10" s="56">
        <f>Messungen!C36</f>
        <v>0.69999999999999929</v>
      </c>
      <c r="G10" s="56">
        <f>Messungen!C35</f>
        <v>1.0299999999999994</v>
      </c>
      <c r="H10" s="56">
        <f>Messungen!C34</f>
        <v>1.3599999999999994</v>
      </c>
      <c r="I10" s="56">
        <f>Messungen!C33</f>
        <v>1.6899999999999995</v>
      </c>
      <c r="J10" s="56">
        <f>Messungen!C32</f>
        <v>2.0199999999999996</v>
      </c>
      <c r="K10" s="56">
        <f>Messungen!C31</f>
        <v>2.3499999999999996</v>
      </c>
      <c r="L10" s="56">
        <f>Messungen!C30</f>
        <v>2.6799999999999997</v>
      </c>
      <c r="M10" s="56">
        <f>Messungen!C29</f>
        <v>3.01</v>
      </c>
      <c r="N10" s="56">
        <f>Messungen!C28</f>
        <v>3.34</v>
      </c>
      <c r="O10" s="56">
        <f>Messungen!C27</f>
        <v>3.67</v>
      </c>
      <c r="P10" s="56">
        <f>Messungen!C26</f>
        <v>4</v>
      </c>
      <c r="Q10" s="56">
        <f>Messungen!C25</f>
        <v>4.33</v>
      </c>
      <c r="R10" s="56">
        <f>Messungen!C24</f>
        <v>4.66</v>
      </c>
      <c r="S10" s="56">
        <f>Messungen!C23</f>
        <v>4.99</v>
      </c>
      <c r="T10" s="56">
        <f>Messungen!C22</f>
        <v>5.32</v>
      </c>
      <c r="U10" s="56">
        <f>Messungen!C21</f>
        <v>5.65</v>
      </c>
      <c r="V10" s="56">
        <f>Messungen!C20</f>
        <v>5.98</v>
      </c>
      <c r="W10" s="56">
        <f>Messungen!C19</f>
        <v>6.3599999999999994</v>
      </c>
      <c r="X10" s="56">
        <f>Messungen!C18</f>
        <v>6.6899999999999995</v>
      </c>
      <c r="Y10" s="56">
        <f>Messungen!C17</f>
        <v>7.02</v>
      </c>
      <c r="Z10" s="56">
        <f>Messungen!C16</f>
        <v>7.35</v>
      </c>
      <c r="AA10" s="56">
        <f>Messungen!C15</f>
        <v>7.68</v>
      </c>
      <c r="AB10" s="56">
        <f>Messungen!C14</f>
        <v>8.01</v>
      </c>
      <c r="AC10" s="56">
        <f>Messungen!C13</f>
        <v>8.34</v>
      </c>
      <c r="AD10" s="56">
        <f>Messungen!C12</f>
        <v>8.67</v>
      </c>
      <c r="AE10" s="56">
        <f>Messungen!C11</f>
        <v>9</v>
      </c>
      <c r="AF10" s="56">
        <f>Messungen!C10</f>
        <v>9.34</v>
      </c>
      <c r="AG10" s="56">
        <f>Messungen!C9</f>
        <v>9.67</v>
      </c>
      <c r="AH10" s="56">
        <f>Messungen!C8</f>
        <v>10</v>
      </c>
      <c r="AI10" s="41"/>
      <c r="AJ10" s="41"/>
      <c r="AK10" s="41"/>
      <c r="AL10" s="59" t="s">
        <v>23</v>
      </c>
      <c r="AM10" s="60"/>
      <c r="AN10" s="110">
        <v>0.4</v>
      </c>
    </row>
    <row r="11" spans="1:40" s="32" customFormat="1" ht="12" thickBot="1" x14ac:dyDescent="0.25">
      <c r="A11" s="42" t="s">
        <v>19</v>
      </c>
      <c r="B11" s="87"/>
      <c r="C11" s="57" t="s">
        <v>22</v>
      </c>
      <c r="D11" s="58">
        <f t="shared" ref="D11:X11" si="1">D10+$AN$10</f>
        <v>0.43999999999999928</v>
      </c>
      <c r="E11" s="58">
        <f t="shared" si="1"/>
        <v>0.76999999999999935</v>
      </c>
      <c r="F11" s="58">
        <f t="shared" si="1"/>
        <v>1.0999999999999992</v>
      </c>
      <c r="G11" s="58">
        <f t="shared" si="1"/>
        <v>1.4299999999999993</v>
      </c>
      <c r="H11" s="58">
        <f t="shared" si="1"/>
        <v>1.7599999999999993</v>
      </c>
      <c r="I11" s="58">
        <f t="shared" si="1"/>
        <v>2.0899999999999994</v>
      </c>
      <c r="J11" s="58">
        <f t="shared" si="1"/>
        <v>2.4199999999999995</v>
      </c>
      <c r="K11" s="58">
        <f t="shared" si="1"/>
        <v>2.7499999999999996</v>
      </c>
      <c r="L11" s="58">
        <f t="shared" si="1"/>
        <v>3.0799999999999996</v>
      </c>
      <c r="M11" s="58">
        <f t="shared" si="1"/>
        <v>3.4099999999999997</v>
      </c>
      <c r="N11" s="58">
        <f t="shared" si="1"/>
        <v>3.7399999999999998</v>
      </c>
      <c r="O11" s="58">
        <f t="shared" si="1"/>
        <v>4.07</v>
      </c>
      <c r="P11" s="58">
        <f t="shared" si="1"/>
        <v>4.4000000000000004</v>
      </c>
      <c r="Q11" s="58">
        <f t="shared" si="1"/>
        <v>4.7300000000000004</v>
      </c>
      <c r="R11" s="58">
        <f t="shared" si="1"/>
        <v>5.0600000000000005</v>
      </c>
      <c r="S11" s="58">
        <f t="shared" si="1"/>
        <v>5.3900000000000006</v>
      </c>
      <c r="T11" s="58">
        <f t="shared" si="1"/>
        <v>5.7200000000000006</v>
      </c>
      <c r="U11" s="58">
        <f t="shared" si="1"/>
        <v>6.0500000000000007</v>
      </c>
      <c r="V11" s="58">
        <f t="shared" si="1"/>
        <v>6.3800000000000008</v>
      </c>
      <c r="W11" s="58">
        <f t="shared" si="1"/>
        <v>6.76</v>
      </c>
      <c r="X11" s="58">
        <f t="shared" si="1"/>
        <v>7.09</v>
      </c>
      <c r="Y11" s="58">
        <f t="shared" ref="Y11:AE11" si="2">Y10+$AN$10</f>
        <v>7.42</v>
      </c>
      <c r="Z11" s="58">
        <f t="shared" si="2"/>
        <v>7.75</v>
      </c>
      <c r="AA11" s="58">
        <f t="shared" si="2"/>
        <v>8.08</v>
      </c>
      <c r="AB11" s="58">
        <f t="shared" si="2"/>
        <v>8.41</v>
      </c>
      <c r="AC11" s="58">
        <f t="shared" si="2"/>
        <v>8.74</v>
      </c>
      <c r="AD11" s="58">
        <f t="shared" si="2"/>
        <v>9.07</v>
      </c>
      <c r="AE11" s="58">
        <f t="shared" si="2"/>
        <v>9.4</v>
      </c>
      <c r="AF11" s="58">
        <f>AF10+$AN$10</f>
        <v>9.74</v>
      </c>
      <c r="AG11" s="58">
        <f>AG10+$AN$10</f>
        <v>10.07</v>
      </c>
      <c r="AH11" s="58">
        <f>AH10+$AN$10</f>
        <v>10.4</v>
      </c>
      <c r="AI11" s="41"/>
      <c r="AJ11" s="41"/>
      <c r="AK11" s="41"/>
      <c r="AL11" s="107" t="s">
        <v>24</v>
      </c>
      <c r="AM11" s="108"/>
      <c r="AN11" s="109">
        <f>Ausgleichsrechnung!B40</f>
        <v>0.68450334231974441</v>
      </c>
    </row>
    <row r="12" spans="1:40" s="32" customFormat="1" ht="12" thickBot="1" x14ac:dyDescent="0.25">
      <c r="A12" s="61"/>
      <c r="B12" s="88"/>
      <c r="C12" s="62" t="s">
        <v>40</v>
      </c>
      <c r="D12" s="63">
        <f>Messungen!$F38</f>
        <v>0.03</v>
      </c>
      <c r="E12" s="63">
        <f>Messungen!$F37</f>
        <v>6.7500000000000004E-2</v>
      </c>
      <c r="F12" s="63">
        <f>Messungen!$F36</f>
        <v>0.11749999999999999</v>
      </c>
      <c r="G12" s="63">
        <f>Messungen!$F35</f>
        <v>0.15500000000000003</v>
      </c>
      <c r="H12" s="63">
        <f>Messungen!$F34</f>
        <v>0.20500000000000002</v>
      </c>
      <c r="I12" s="63">
        <f>Messungen!$F33</f>
        <v>0.26750000000000002</v>
      </c>
      <c r="J12" s="63">
        <f>Messungen!$F32</f>
        <v>0.32999999999999996</v>
      </c>
      <c r="K12" s="63">
        <f>Messungen!$F31</f>
        <v>0.38</v>
      </c>
      <c r="L12" s="63">
        <f>Messungen!$F30</f>
        <v>0.4425</v>
      </c>
      <c r="M12" s="63">
        <f>Messungen!$F29</f>
        <v>0.505</v>
      </c>
      <c r="N12" s="63">
        <f>Messungen!$F28</f>
        <v>0.5675</v>
      </c>
      <c r="O12" s="63">
        <f>Messungen!$F27</f>
        <v>0.64249999999999996</v>
      </c>
      <c r="P12" s="63">
        <f>Messungen!$F26</f>
        <v>0.70500000000000007</v>
      </c>
      <c r="Q12" s="63">
        <f>Messungen!$F25</f>
        <v>0.77999999999999992</v>
      </c>
      <c r="R12" s="63">
        <f>Messungen!$F24</f>
        <v>0.85500000000000009</v>
      </c>
      <c r="S12" s="63">
        <f>Messungen!$F23</f>
        <v>0.93</v>
      </c>
      <c r="T12" s="63">
        <f>Messungen!$F22</f>
        <v>1.0049999999999999</v>
      </c>
      <c r="U12" s="63">
        <f>Messungen!$F21</f>
        <v>1.08</v>
      </c>
      <c r="V12" s="63">
        <f>Messungen!$F20</f>
        <v>1.1549999999999998</v>
      </c>
      <c r="W12" s="63">
        <f>Messungen!$F19</f>
        <v>1.2425000000000002</v>
      </c>
      <c r="X12" s="63">
        <f>Messungen!$F18</f>
        <v>1.3174999999999999</v>
      </c>
      <c r="Y12" s="63">
        <f>Messungen!$F17</f>
        <v>1.4049999999999998</v>
      </c>
      <c r="Z12" s="63">
        <f>Messungen!$F16</f>
        <v>1.48</v>
      </c>
      <c r="AA12" s="63">
        <f>Messungen!$F15</f>
        <v>1.5550000000000002</v>
      </c>
      <c r="AB12" s="63">
        <f>Messungen!$F14</f>
        <v>1.6425000000000001</v>
      </c>
      <c r="AC12" s="63">
        <f>Messungen!$F13</f>
        <v>1.7174999999999998</v>
      </c>
      <c r="AD12" s="63">
        <f>Messungen!$F12</f>
        <v>1.8050000000000002</v>
      </c>
      <c r="AE12" s="63">
        <f>Messungen!$F11</f>
        <v>1.88</v>
      </c>
      <c r="AF12" s="63">
        <f>Messungen!$F10</f>
        <v>1.9674999999999998</v>
      </c>
      <c r="AG12" s="63">
        <f>Messungen!$F9</f>
        <v>2.0425</v>
      </c>
      <c r="AH12" s="64">
        <f>Messungen!$F8</f>
        <v>2.1174999999999997</v>
      </c>
      <c r="AI12" s="41"/>
      <c r="AJ12" s="41"/>
      <c r="AK12" s="41"/>
      <c r="AL12" s="41"/>
      <c r="AM12" s="41"/>
      <c r="AN12" s="41"/>
    </row>
    <row r="13" spans="1:40" hidden="1" x14ac:dyDescent="0.2">
      <c r="E13" s="89">
        <f>(E12-D12)/(E11-D11)/LOG10(2)</f>
        <v>0.37749182896447298</v>
      </c>
      <c r="F13" s="89">
        <f t="shared" ref="F13:X13" si="3">(F12-E12)/(F11-E11)/LOG10(2)</f>
        <v>0.50332243861929737</v>
      </c>
      <c r="G13" s="89">
        <f t="shared" si="3"/>
        <v>0.37749182896447325</v>
      </c>
      <c r="H13" s="89">
        <f t="shared" si="3"/>
        <v>0.50332243861929704</v>
      </c>
      <c r="I13" s="89">
        <f t="shared" si="3"/>
        <v>0.62915304827412155</v>
      </c>
      <c r="J13" s="89">
        <f t="shared" si="3"/>
        <v>0.629153048274121</v>
      </c>
      <c r="K13" s="89">
        <f t="shared" si="3"/>
        <v>0.50332243861929771</v>
      </c>
      <c r="L13" s="89">
        <f t="shared" si="3"/>
        <v>0.62915304827412155</v>
      </c>
      <c r="M13" s="89">
        <f t="shared" si="3"/>
        <v>0.62915304827412155</v>
      </c>
      <c r="N13" s="89">
        <f t="shared" si="3"/>
        <v>0.62915304827412155</v>
      </c>
      <c r="O13" s="89">
        <f t="shared" si="3"/>
        <v>0.7549836579289444</v>
      </c>
      <c r="P13" s="89">
        <f t="shared" si="3"/>
        <v>0.62915304827412266</v>
      </c>
      <c r="Q13" s="89">
        <f t="shared" si="3"/>
        <v>0.75498365792894429</v>
      </c>
      <c r="R13" s="89">
        <f t="shared" si="3"/>
        <v>0.75498365792894762</v>
      </c>
      <c r="S13" s="89">
        <f t="shared" si="3"/>
        <v>0.7549836579289454</v>
      </c>
      <c r="T13" s="89">
        <f t="shared" si="3"/>
        <v>0.75498365792894429</v>
      </c>
      <c r="U13" s="89">
        <f t="shared" si="3"/>
        <v>0.75498365792894762</v>
      </c>
      <c r="V13" s="89">
        <f t="shared" si="3"/>
        <v>0.75498365792894306</v>
      </c>
      <c r="W13" s="89">
        <f t="shared" si="3"/>
        <v>0.76491765342801621</v>
      </c>
      <c r="X13" s="89">
        <f t="shared" si="3"/>
        <v>0.75498365792894306</v>
      </c>
      <c r="Y13" s="89">
        <f>(Y12-X12)/(Y11-X11)/LOG10(2)</f>
        <v>0.88081426758376913</v>
      </c>
      <c r="Z13" s="89">
        <f>(Z12-Y12)/(Z11-Y11)/LOG10(2)</f>
        <v>0.75498365792894762</v>
      </c>
      <c r="AA13" s="89">
        <f>(AA12-Z12)/(AA11-Z11)/LOG10(2)</f>
        <v>0.75498365792894762</v>
      </c>
      <c r="AB13" s="89">
        <f>(AB12-AA12)/(AB11-AA11)/LOG10(2)</f>
        <v>0.88081426758376913</v>
      </c>
    </row>
    <row r="15" spans="1:40" x14ac:dyDescent="0.2">
      <c r="AF15" s="27" t="e">
        <f ca="1">lgDZoneI()</f>
        <v>#NAME?</v>
      </c>
    </row>
    <row r="16" spans="1:40" x14ac:dyDescent="0.2">
      <c r="AF16" s="27" t="e">
        <f ca="1">FindeZoneN()</f>
        <v>#NAME?</v>
      </c>
    </row>
  </sheetData>
  <mergeCells count="21">
    <mergeCell ref="J3:J4"/>
    <mergeCell ref="K3:K4"/>
    <mergeCell ref="L3:O4"/>
    <mergeCell ref="J1:M2"/>
    <mergeCell ref="N1:Q2"/>
    <mergeCell ref="P3:P4"/>
    <mergeCell ref="Q3:Q4"/>
    <mergeCell ref="C3:F4"/>
    <mergeCell ref="C1:C2"/>
    <mergeCell ref="D1:F2"/>
    <mergeCell ref="G1:I2"/>
    <mergeCell ref="G3:I4"/>
    <mergeCell ref="AH1:AJ2"/>
    <mergeCell ref="AF1:AG2"/>
    <mergeCell ref="R1:S2"/>
    <mergeCell ref="AB1:AC2"/>
    <mergeCell ref="T1:U2"/>
    <mergeCell ref="AD1:AE2"/>
    <mergeCell ref="V1:W2"/>
    <mergeCell ref="X1:Y2"/>
    <mergeCell ref="Z1:AA2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1"/>
  <sheetViews>
    <sheetView workbookViewId="0">
      <selection activeCell="J5" sqref="J5"/>
    </sheetView>
  </sheetViews>
  <sheetFormatPr baseColWidth="10" defaultRowHeight="12.75" x14ac:dyDescent="0.2"/>
  <cols>
    <col min="1" max="1" width="7.28515625" style="66" customWidth="1"/>
    <col min="2" max="2" width="7" style="66" customWidth="1"/>
    <col min="3" max="3" width="10.85546875" style="73" customWidth="1"/>
    <col min="5" max="5" width="8.7109375" customWidth="1"/>
    <col min="6" max="6" width="11.42578125" style="67"/>
  </cols>
  <sheetData>
    <row r="1" spans="1:7" s="70" customFormat="1" ht="39" x14ac:dyDescent="0.25">
      <c r="A1" s="69" t="s">
        <v>22</v>
      </c>
      <c r="B1" s="69" t="s">
        <v>40</v>
      </c>
      <c r="C1" s="71" t="s">
        <v>53</v>
      </c>
      <c r="D1" s="69" t="s">
        <v>37</v>
      </c>
      <c r="E1" s="69" t="s">
        <v>36</v>
      </c>
      <c r="F1" s="76" t="s">
        <v>35</v>
      </c>
    </row>
    <row r="2" spans="1:7" x14ac:dyDescent="0.2">
      <c r="A2" s="74">
        <f>Auswertung!D$11</f>
        <v>0.43999999999999928</v>
      </c>
      <c r="B2" s="74">
        <f>Auswertung!D$12</f>
        <v>0.03</v>
      </c>
      <c r="C2" s="75">
        <f>$F$7+$F$6*A2+$F$5*A2^2+$F$4*A2^3+$F$3*A2^4+$F$2*A2^5</f>
        <v>3.0005154337919091E-2</v>
      </c>
      <c r="D2" s="79">
        <f>(B2-C2)^2</f>
        <v>2.6567199384192569E-11</v>
      </c>
      <c r="E2" s="85">
        <f>SUM(D2:D32)</f>
        <v>3.8038862041261311E-4</v>
      </c>
      <c r="F2" s="99">
        <f t="array" ref="F2:F7">TRANSPOSE(LINEST(B2:B32,A2:A32^{0,1,2,3,4,5},0,0))</f>
        <v>-5.5350710043539141E-6</v>
      </c>
      <c r="G2" s="41" t="s">
        <v>44</v>
      </c>
    </row>
    <row r="3" spans="1:7" x14ac:dyDescent="0.2">
      <c r="A3" s="65">
        <f>Auswertung!E$11</f>
        <v>0.76999999999999935</v>
      </c>
      <c r="B3" s="65">
        <f>Auswertung!E$12</f>
        <v>6.7500000000000004E-2</v>
      </c>
      <c r="C3" s="75">
        <f t="shared" ref="C3:C32" si="0">$F$7+$F$6*A3+$F$5*A3^2+$F$4*A3^3+$F$3*A3^4+$F$2*A3^5</f>
        <v>6.8984749644792856E-2</v>
      </c>
      <c r="D3" s="80">
        <f t="shared" ref="D3:D32" si="1">(B3-C3)^2</f>
        <v>2.2044815077124989E-6</v>
      </c>
      <c r="E3" s="73"/>
      <c r="F3" s="99">
        <v>1.6907053159800808E-4</v>
      </c>
      <c r="G3" s="41" t="s">
        <v>45</v>
      </c>
    </row>
    <row r="4" spans="1:7" x14ac:dyDescent="0.2">
      <c r="A4" s="65">
        <f>Auswertung!F$11</f>
        <v>1.0999999999999992</v>
      </c>
      <c r="B4" s="65">
        <f>Auswertung!F$12</f>
        <v>0.11749999999999999</v>
      </c>
      <c r="C4" s="75">
        <f t="shared" si="0"/>
        <v>0.11230715967468842</v>
      </c>
      <c r="D4" s="80">
        <f t="shared" si="1"/>
        <v>2.6965590644182008E-5</v>
      </c>
      <c r="E4" s="73"/>
      <c r="F4" s="99">
        <v>-2.5170565463796795E-3</v>
      </c>
      <c r="G4" s="41" t="s">
        <v>46</v>
      </c>
    </row>
    <row r="5" spans="1:7" x14ac:dyDescent="0.2">
      <c r="A5" s="65">
        <f>Auswertung!G$11</f>
        <v>1.4299999999999993</v>
      </c>
      <c r="B5" s="65">
        <f>Auswertung!G$12</f>
        <v>0.15500000000000003</v>
      </c>
      <c r="C5" s="75">
        <f t="shared" si="0"/>
        <v>0.15955523592759099</v>
      </c>
      <c r="D5" s="80">
        <f t="shared" si="1"/>
        <v>2.0750174356015539E-5</v>
      </c>
      <c r="E5" s="98" t="str">
        <f>Messungen!G1</f>
        <v>V2</v>
      </c>
      <c r="F5" s="99">
        <v>2.5161588957600813E-2</v>
      </c>
      <c r="G5" s="41" t="s">
        <v>47</v>
      </c>
    </row>
    <row r="6" spans="1:7" x14ac:dyDescent="0.2">
      <c r="A6" s="65">
        <f>Auswertung!H$11</f>
        <v>1.7599999999999993</v>
      </c>
      <c r="B6" s="65">
        <f>Auswertung!H$12</f>
        <v>0.20500000000000002</v>
      </c>
      <c r="C6" s="75">
        <f t="shared" si="0"/>
        <v>0.21035128624686097</v>
      </c>
      <c r="D6" s="80">
        <f t="shared" si="1"/>
        <v>2.8636264495843249E-5</v>
      </c>
      <c r="E6" s="73"/>
      <c r="F6" s="99">
        <v>9.0350271824348585E-2</v>
      </c>
      <c r="G6" s="41" t="s">
        <v>48</v>
      </c>
    </row>
    <row r="7" spans="1:7" x14ac:dyDescent="0.2">
      <c r="A7" s="65">
        <f>Auswertung!I$11</f>
        <v>2.0899999999999994</v>
      </c>
      <c r="B7" s="65">
        <f>Auswertung!I$12</f>
        <v>0.26750000000000002</v>
      </c>
      <c r="C7" s="75">
        <f t="shared" si="0"/>
        <v>0.26435447541308554</v>
      </c>
      <c r="D7" s="80">
        <f t="shared" si="1"/>
        <v>9.8943249268834599E-6</v>
      </c>
      <c r="E7" s="73"/>
      <c r="F7" s="99">
        <v>-1.4412081585669961E-2</v>
      </c>
      <c r="G7" s="41" t="s">
        <v>49</v>
      </c>
    </row>
    <row r="8" spans="1:7" x14ac:dyDescent="0.2">
      <c r="A8" s="65">
        <f>Auswertung!J$11</f>
        <v>2.4199999999999995</v>
      </c>
      <c r="B8" s="65">
        <f>Auswertung!J$12</f>
        <v>0.32999999999999996</v>
      </c>
      <c r="C8" s="75">
        <f t="shared" si="0"/>
        <v>0.32125822573793011</v>
      </c>
      <c r="D8" s="80">
        <f t="shared" si="1"/>
        <v>7.6418617248986799E-5</v>
      </c>
      <c r="E8" s="73"/>
    </row>
    <row r="9" spans="1:7" x14ac:dyDescent="0.2">
      <c r="A9" s="65">
        <f>Auswertung!K$11</f>
        <v>2.7499999999999996</v>
      </c>
      <c r="B9" s="65">
        <f>Auswertung!K$12</f>
        <v>0.38</v>
      </c>
      <c r="C9" s="75">
        <f t="shared" si="0"/>
        <v>0.3807876176579903</v>
      </c>
      <c r="D9" s="80">
        <f t="shared" si="1"/>
        <v>6.2034157517811192E-7</v>
      </c>
      <c r="E9" s="73"/>
    </row>
    <row r="10" spans="1:7" x14ac:dyDescent="0.2">
      <c r="A10" s="65">
        <f>Auswertung!L$11</f>
        <v>3.0799999999999996</v>
      </c>
      <c r="B10" s="65">
        <f>Auswertung!L$12</f>
        <v>0.4425</v>
      </c>
      <c r="C10" s="75">
        <f t="shared" si="0"/>
        <v>0.44269679032864268</v>
      </c>
      <c r="D10" s="80">
        <f t="shared" si="1"/>
        <v>3.8726433447290407E-8</v>
      </c>
      <c r="E10" s="73"/>
    </row>
    <row r="11" spans="1:7" x14ac:dyDescent="0.2">
      <c r="A11" s="65">
        <f>Auswertung!M$11</f>
        <v>3.4099999999999997</v>
      </c>
      <c r="B11" s="65">
        <f>Auswertung!M$12</f>
        <v>0.505</v>
      </c>
      <c r="C11" s="75">
        <f t="shared" si="0"/>
        <v>0.50676634221789707</v>
      </c>
      <c r="D11" s="80">
        <f t="shared" si="1"/>
        <v>3.1199648307255247E-6</v>
      </c>
      <c r="E11" s="73"/>
    </row>
    <row r="12" spans="1:7" x14ac:dyDescent="0.2">
      <c r="A12" s="65">
        <f>Auswertung!N$11</f>
        <v>3.7399999999999998</v>
      </c>
      <c r="B12" s="65">
        <f>Auswertung!N$12</f>
        <v>0.5675</v>
      </c>
      <c r="C12" s="75">
        <f t="shared" si="0"/>
        <v>0.5728007317002477</v>
      </c>
      <c r="D12" s="80">
        <f t="shared" si="1"/>
        <v>2.8097756558010832E-5</v>
      </c>
      <c r="E12" s="73"/>
    </row>
    <row r="13" spans="1:7" x14ac:dyDescent="0.2">
      <c r="A13" s="65">
        <f>Auswertung!O$11</f>
        <v>4.07</v>
      </c>
      <c r="B13" s="65">
        <f>Auswertung!O$12</f>
        <v>0.64249999999999996</v>
      </c>
      <c r="C13" s="75">
        <f t="shared" si="0"/>
        <v>0.64062567765052503</v>
      </c>
      <c r="D13" s="80">
        <f t="shared" si="1"/>
        <v>3.5130842697412321E-6</v>
      </c>
      <c r="E13" s="73"/>
    </row>
    <row r="14" spans="1:7" x14ac:dyDescent="0.2">
      <c r="A14" s="65">
        <f>Auswertung!P$11</f>
        <v>4.4000000000000004</v>
      </c>
      <c r="B14" s="65">
        <f>Auswertung!P$12</f>
        <v>0.70500000000000007</v>
      </c>
      <c r="C14" s="75">
        <f t="shared" si="0"/>
        <v>0.71008556003774659</v>
      </c>
      <c r="D14" s="80">
        <f t="shared" si="1"/>
        <v>2.5862920897524355E-5</v>
      </c>
      <c r="E14" s="73"/>
    </row>
    <row r="15" spans="1:7" x14ac:dyDescent="0.2">
      <c r="A15" s="65">
        <f>Auswertung!Q$11</f>
        <v>4.7300000000000004</v>
      </c>
      <c r="B15" s="65">
        <f>Auswertung!Q$12</f>
        <v>0.77999999999999992</v>
      </c>
      <c r="C15" s="75">
        <f t="shared" si="0"/>
        <v>0.78104082051896928</v>
      </c>
      <c r="D15" s="80">
        <f t="shared" si="1"/>
        <v>1.083307352707659E-6</v>
      </c>
      <c r="E15" s="73"/>
    </row>
    <row r="16" spans="1:7" x14ac:dyDescent="0.2">
      <c r="A16" s="65">
        <f>Auswertung!R$11</f>
        <v>5.0600000000000005</v>
      </c>
      <c r="B16" s="65">
        <f>Auswertung!R$12</f>
        <v>0.85500000000000009</v>
      </c>
      <c r="C16" s="75">
        <f t="shared" si="0"/>
        <v>0.8533653630331407</v>
      </c>
      <c r="D16" s="80">
        <f t="shared" si="1"/>
        <v>2.6720380134232761E-6</v>
      </c>
      <c r="E16" s="73"/>
    </row>
    <row r="17" spans="1:5" x14ac:dyDescent="0.2">
      <c r="A17" s="65">
        <f>Auswertung!S$11</f>
        <v>5.3900000000000006</v>
      </c>
      <c r="B17" s="65">
        <f>Auswertung!S$12</f>
        <v>0.93</v>
      </c>
      <c r="C17" s="75">
        <f t="shared" si="0"/>
        <v>0.92694395439495081</v>
      </c>
      <c r="D17" s="80">
        <f t="shared" si="1"/>
        <v>9.3394147401407765E-6</v>
      </c>
      <c r="E17" s="73"/>
    </row>
    <row r="18" spans="1:5" x14ac:dyDescent="0.2">
      <c r="A18" s="65">
        <f>Auswertung!T$11</f>
        <v>5.7200000000000006</v>
      </c>
      <c r="B18" s="65">
        <f>Auswertung!T$12</f>
        <v>1.0049999999999999</v>
      </c>
      <c r="C18" s="75">
        <f t="shared" si="0"/>
        <v>1.0016696248886832</v>
      </c>
      <c r="D18" s="80">
        <f t="shared" si="1"/>
        <v>1.1091398382077922E-5</v>
      </c>
      <c r="E18" s="73"/>
    </row>
    <row r="19" spans="1:5" x14ac:dyDescent="0.2">
      <c r="A19" s="65">
        <f>Auswertung!U$11</f>
        <v>6.0500000000000007</v>
      </c>
      <c r="B19" s="65">
        <f>Auswertung!U$12</f>
        <v>1.08</v>
      </c>
      <c r="C19" s="75">
        <f t="shared" si="0"/>
        <v>1.0774410688620664</v>
      </c>
      <c r="D19" s="80">
        <f t="shared" si="1"/>
        <v>6.5481285686866942E-6</v>
      </c>
      <c r="E19" s="73"/>
    </row>
    <row r="20" spans="1:5" x14ac:dyDescent="0.2">
      <c r="A20" s="65">
        <f>Auswertung!V$11</f>
        <v>6.3800000000000008</v>
      </c>
      <c r="B20" s="65">
        <f>Auswertung!V$12</f>
        <v>1.1549999999999998</v>
      </c>
      <c r="C20" s="75">
        <f t="shared" si="0"/>
        <v>1.1541600453201262</v>
      </c>
      <c r="D20" s="80">
        <f t="shared" si="1"/>
        <v>7.0552386424161808E-7</v>
      </c>
      <c r="E20" s="73"/>
    </row>
    <row r="21" spans="1:5" x14ac:dyDescent="0.2">
      <c r="A21" s="65">
        <f>Auswertung!W$11</f>
        <v>6.76</v>
      </c>
      <c r="B21" s="65">
        <f>Auswertung!W$12</f>
        <v>1.2425000000000002</v>
      </c>
      <c r="C21" s="75">
        <f t="shared" si="0"/>
        <v>1.2435495456421999</v>
      </c>
      <c r="D21" s="80">
        <f t="shared" si="1"/>
        <v>1.1015460550604289E-6</v>
      </c>
      <c r="E21" s="73"/>
    </row>
    <row r="22" spans="1:5" x14ac:dyDescent="0.2">
      <c r="A22" s="65">
        <f>Auswertung!X$11</f>
        <v>7.09</v>
      </c>
      <c r="B22" s="65">
        <f>Auswertung!X$12</f>
        <v>1.3174999999999999</v>
      </c>
      <c r="C22" s="75">
        <f t="shared" si="0"/>
        <v>1.3219727614514334</v>
      </c>
      <c r="D22" s="80">
        <f t="shared" si="1"/>
        <v>2.0005595001429449E-5</v>
      </c>
      <c r="E22" s="73"/>
    </row>
    <row r="23" spans="1:5" x14ac:dyDescent="0.2">
      <c r="A23" s="65">
        <f>Auswertung!Y$11</f>
        <v>7.42</v>
      </c>
      <c r="B23" s="65">
        <f>Auswertung!Y$12</f>
        <v>1.4049999999999998</v>
      </c>
      <c r="C23" s="75">
        <f t="shared" si="0"/>
        <v>1.4010247500089617</v>
      </c>
      <c r="D23" s="80">
        <f t="shared" si="1"/>
        <v>1.5802612491248846E-5</v>
      </c>
    </row>
    <row r="24" spans="1:5" x14ac:dyDescent="0.2">
      <c r="A24" s="65">
        <f>Auswertung!Z$11</f>
        <v>7.75</v>
      </c>
      <c r="B24" s="65">
        <f>Auswertung!Z$12</f>
        <v>1.48</v>
      </c>
      <c r="C24" s="75">
        <f t="shared" si="0"/>
        <v>1.4805921970700764</v>
      </c>
      <c r="D24" s="80">
        <f t="shared" si="1"/>
        <v>3.5069736980707933E-7</v>
      </c>
    </row>
    <row r="25" spans="1:5" x14ac:dyDescent="0.2">
      <c r="A25" s="65">
        <f>Auswertung!AA$11</f>
        <v>8.08</v>
      </c>
      <c r="B25" s="65">
        <f>Auswertung!AA$12</f>
        <v>1.5550000000000002</v>
      </c>
      <c r="C25" s="75">
        <f t="shared" si="0"/>
        <v>1.5605514621672081</v>
      </c>
      <c r="D25" s="80">
        <f t="shared" si="1"/>
        <v>3.0818732193940869E-5</v>
      </c>
    </row>
    <row r="26" spans="1:5" x14ac:dyDescent="0.2">
      <c r="A26" s="65">
        <f>Auswertung!AB$11</f>
        <v>8.41</v>
      </c>
      <c r="B26" s="65">
        <f>Auswertung!AB$12</f>
        <v>1.6425000000000001</v>
      </c>
      <c r="C26" s="75">
        <f t="shared" si="0"/>
        <v>1.6407659792037759</v>
      </c>
      <c r="D26" s="80">
        <f t="shared" si="1"/>
        <v>3.0068281217380101E-6</v>
      </c>
    </row>
    <row r="27" spans="1:5" x14ac:dyDescent="0.2">
      <c r="A27" s="65">
        <f>Auswertung!AC$11</f>
        <v>8.74</v>
      </c>
      <c r="B27" s="65">
        <f>Auswertung!AC$12</f>
        <v>1.7174999999999998</v>
      </c>
      <c r="C27" s="75">
        <f t="shared" si="0"/>
        <v>1.721083657048041</v>
      </c>
      <c r="D27" s="80">
        <f t="shared" si="1"/>
        <v>1.2842597837975368E-5</v>
      </c>
    </row>
    <row r="28" spans="1:5" x14ac:dyDescent="0.2">
      <c r="A28" s="65">
        <f>Auswertung!AD$11</f>
        <v>9.07</v>
      </c>
      <c r="B28" s="65">
        <f>Auswertung!AD$12</f>
        <v>1.8050000000000002</v>
      </c>
      <c r="C28" s="75">
        <f t="shared" si="0"/>
        <v>1.8013342801269561</v>
      </c>
      <c r="D28" s="80">
        <f t="shared" si="1"/>
        <v>1.3437502187630404E-5</v>
      </c>
    </row>
    <row r="29" spans="1:5" x14ac:dyDescent="0.2">
      <c r="A29" s="65">
        <f>Auswertung!AE$11</f>
        <v>9.4</v>
      </c>
      <c r="B29" s="65">
        <f>Auswertung!AE$12</f>
        <v>1.88</v>
      </c>
      <c r="C29" s="75">
        <f t="shared" si="0"/>
        <v>1.88132690902002</v>
      </c>
      <c r="D29" s="80">
        <f t="shared" si="1"/>
        <v>1.7606875474106595E-6</v>
      </c>
    </row>
    <row r="30" spans="1:5" x14ac:dyDescent="0.2">
      <c r="A30" s="65">
        <f>Auswertung!AF$11</f>
        <v>9.74</v>
      </c>
      <c r="B30" s="65">
        <f>Auswertung!AF$12</f>
        <v>1.9674999999999998</v>
      </c>
      <c r="C30" s="75">
        <f t="shared" si="0"/>
        <v>1.9632471499796595</v>
      </c>
      <c r="D30" s="80">
        <f t="shared" si="1"/>
        <v>1.8086733295508146E-5</v>
      </c>
    </row>
    <row r="31" spans="1:5" x14ac:dyDescent="0.2">
      <c r="A31" s="65">
        <f>Auswertung!AG$11</f>
        <v>10.07</v>
      </c>
      <c r="B31" s="65">
        <f>Auswertung!AG$12</f>
        <v>2.0425</v>
      </c>
      <c r="C31" s="75">
        <f t="shared" si="0"/>
        <v>2.0420294465399138</v>
      </c>
      <c r="D31" s="80">
        <f t="shared" si="1"/>
        <v>2.2142055879907248E-7</v>
      </c>
    </row>
    <row r="32" spans="1:5" x14ac:dyDescent="0.2">
      <c r="A32" s="65">
        <f>Auswertung!AH$11</f>
        <v>10.4</v>
      </c>
      <c r="B32" s="65">
        <f>Auswertung!AH$12</f>
        <v>2.1174999999999997</v>
      </c>
      <c r="C32" s="75">
        <f t="shared" si="0"/>
        <v>2.1198219781479022</v>
      </c>
      <c r="D32" s="80">
        <f t="shared" si="1"/>
        <v>5.3915825193365863E-6</v>
      </c>
    </row>
    <row r="35" spans="1:3" ht="13.5" thickBot="1" x14ac:dyDescent="0.25"/>
    <row r="36" spans="1:3" x14ac:dyDescent="0.2">
      <c r="A36" s="100" t="s">
        <v>38</v>
      </c>
      <c r="B36" s="100" t="s">
        <v>1</v>
      </c>
      <c r="C36" s="104" t="s">
        <v>52</v>
      </c>
    </row>
    <row r="37" spans="1:3" x14ac:dyDescent="0.2">
      <c r="A37" s="101">
        <v>1</v>
      </c>
      <c r="B37" s="102">
        <f>$F$7+$F$6*A37+$F$5*A37^2+$F$4*A37^3+$F$3*A37^4+$F$2*A37^5</f>
        <v>9.874625811049341E-2</v>
      </c>
      <c r="C37" s="105">
        <f>Auswertung!G8</f>
        <v>0.1</v>
      </c>
    </row>
    <row r="38" spans="1:3" x14ac:dyDescent="0.2">
      <c r="A38" s="101">
        <v>5</v>
      </c>
      <c r="B38" s="102">
        <f t="shared" ref="B38:B39" si="2">$F$7+$F$6*A38+$F$5*A38^2+$F$4*A38^3+$F$3*A38^4+$F$2*A38^5</f>
        <v>0.84011891853878229</v>
      </c>
      <c r="C38" s="105">
        <f>Auswertung!S8</f>
        <v>0.72</v>
      </c>
    </row>
    <row r="39" spans="1:3" x14ac:dyDescent="0.2">
      <c r="A39" s="101">
        <v>8</v>
      </c>
      <c r="B39" s="102">
        <f t="shared" si="2"/>
        <v>1.5411385253039467</v>
      </c>
      <c r="C39" s="105">
        <f>Auswertung!AB8</f>
        <v>1.29</v>
      </c>
    </row>
    <row r="40" spans="1:3" x14ac:dyDescent="0.2">
      <c r="A40" s="101" t="s">
        <v>50</v>
      </c>
      <c r="B40" s="103">
        <f>(B39-B37)/7/LOG10(2)</f>
        <v>0.68450334231974441</v>
      </c>
      <c r="C40" s="106">
        <f>(C39-C37)/7/LOG10(2)</f>
        <v>0.56472777613085157</v>
      </c>
    </row>
    <row r="41" spans="1:3" x14ac:dyDescent="0.2">
      <c r="A41" s="101" t="s">
        <v>51</v>
      </c>
      <c r="B41" s="103">
        <f>(B38-B37)/4/LOG10(2)</f>
        <v>0.61569666736453021</v>
      </c>
      <c r="C41" s="106">
        <f>(C38-C37)/4/LOG10(2)</f>
        <v>0.51489885470754115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9"/>
  <sheetViews>
    <sheetView workbookViewId="0">
      <selection activeCell="D2" sqref="D2"/>
    </sheetView>
  </sheetViews>
  <sheetFormatPr baseColWidth="10" defaultRowHeight="12.75" x14ac:dyDescent="0.2"/>
  <cols>
    <col min="2" max="2" width="7" customWidth="1"/>
    <col min="3" max="3" width="8.7109375" bestFit="1" customWidth="1"/>
    <col min="4" max="4" width="5.5703125" bestFit="1" customWidth="1"/>
  </cols>
  <sheetData>
    <row r="1" spans="1:5" s="68" customFormat="1" ht="26.25" x14ac:dyDescent="0.25">
      <c r="A1" s="76" t="s">
        <v>35</v>
      </c>
      <c r="B1" s="69" t="s">
        <v>0</v>
      </c>
      <c r="C1" s="69" t="s">
        <v>42</v>
      </c>
      <c r="D1" s="69" t="s">
        <v>34</v>
      </c>
      <c r="E1" s="97" t="str">
        <f>Messungen!G1</f>
        <v>V2</v>
      </c>
    </row>
    <row r="2" spans="1:5" x14ac:dyDescent="0.2">
      <c r="A2" s="82">
        <f>Ausgleichsrechnung!F2</f>
        <v>-5.5350710043539141E-6</v>
      </c>
      <c r="B2" s="84">
        <v>6.9558048249462683</v>
      </c>
      <c r="C2" s="72">
        <f>Auswertung!AB8</f>
        <v>1.29</v>
      </c>
      <c r="D2" s="83">
        <f>$A$7+$A$6*B2+$A$5*B2^2+$A$4*B2^3+$A$3*B2^4+$A$2*B2^5</f>
        <v>1.2899998244938138</v>
      </c>
    </row>
    <row r="3" spans="1:5" x14ac:dyDescent="0.2">
      <c r="A3" s="82">
        <f>Ausgleichsrechnung!F3</f>
        <v>1.6907053159800808E-4</v>
      </c>
    </row>
    <row r="4" spans="1:5" x14ac:dyDescent="0.2">
      <c r="A4" s="82">
        <f>Ausgleichsrechnung!F4</f>
        <v>-2.5170565463796795E-3</v>
      </c>
    </row>
    <row r="5" spans="1:5" x14ac:dyDescent="0.2">
      <c r="A5" s="82">
        <f>Ausgleichsrechnung!F5</f>
        <v>2.5161588957600813E-2</v>
      </c>
    </row>
    <row r="6" spans="1:5" x14ac:dyDescent="0.2">
      <c r="A6" s="82">
        <f>Ausgleichsrechnung!F6</f>
        <v>9.0350271824348585E-2</v>
      </c>
    </row>
    <row r="7" spans="1:5" x14ac:dyDescent="0.2">
      <c r="A7" s="82">
        <f>Ausgleichsrechnung!F7</f>
        <v>-1.4412081585669961E-2</v>
      </c>
    </row>
    <row r="8" spans="1:5" ht="13.5" thickBot="1" x14ac:dyDescent="0.25"/>
    <row r="9" spans="1:5" ht="13.5" thickBot="1" x14ac:dyDescent="0.25">
      <c r="A9" s="77" t="s">
        <v>39</v>
      </c>
      <c r="B9" s="78">
        <f>8-B2</f>
        <v>1.0441951750537317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Messungen</vt:lpstr>
      <vt:lpstr>Auswertung</vt:lpstr>
      <vt:lpstr>Ausgleichsrechnung</vt:lpstr>
      <vt:lpstr>N+-</vt:lpstr>
      <vt:lpstr>Messungen!Druckbereich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Filmtests</dc:title>
  <dc:creator>Dr. Otto Beyer</dc:creator>
  <dc:description>otto.beyer@gmx.de</dc:description>
  <cp:lastModifiedBy>Otto</cp:lastModifiedBy>
  <cp:lastPrinted>2008-08-01T11:39:02Z</cp:lastPrinted>
  <dcterms:created xsi:type="dcterms:W3CDTF">2004-03-15T15:59:27Z</dcterms:created>
  <dcterms:modified xsi:type="dcterms:W3CDTF">2014-03-22T06:58:14Z</dcterms:modified>
</cp:coreProperties>
</file>